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phy/AIEF/Q+5ZWLHWpiQj/UjoDIJO7MqcLRcx+Ic2YVlcMCY+1F0aa8NskEHF+HgmgIbuDlW08h5+kbjlUBFYg==" workbookSaltValue="APHn37SFcAJU8hAO6f+7h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BA13" i="16"/>
  <c r="AP10" i="11"/>
  <c r="Y12" i="11"/>
  <c r="T10" i="21"/>
  <c r="ES19" i="8"/>
  <c r="G18" i="12"/>
  <c r="C18" i="7"/>
  <c r="R8" i="9"/>
  <c r="X12" i="21" s="1"/>
  <c r="BM19" i="8"/>
  <c r="AL13" i="16"/>
  <c r="BJ17" i="11"/>
  <c r="V11" i="16"/>
  <c r="BL12" i="11"/>
  <c r="S13" i="16"/>
  <c r="V12" i="21"/>
  <c r="P13" i="16"/>
  <c r="AM13" i="20"/>
  <c r="H13" i="12"/>
  <c r="F13" i="7"/>
  <c r="BI10" i="11"/>
  <c r="BJ11" i="11"/>
  <c r="BG15" i="11"/>
  <c r="T15" i="16"/>
  <c r="BV12" i="16"/>
  <c r="U10" i="17"/>
  <c r="S12" i="14"/>
  <c r="V12" i="14" s="1"/>
  <c r="T16" i="11"/>
  <c r="Q17" i="17"/>
  <c r="BH10" i="11"/>
  <c r="BI9" i="11"/>
  <c r="AQ10" i="21"/>
  <c r="T12" i="11"/>
  <c r="BJ10" i="11"/>
  <c r="BK16" i="11"/>
  <c r="BH11" i="11"/>
  <c r="BG16" i="11"/>
  <c r="T11" i="11"/>
  <c r="BH16" i="11"/>
  <c r="AQ12" i="21"/>
  <c r="BJ16" i="11"/>
  <c r="BL16" i="11"/>
  <c r="BD15" i="8"/>
  <c r="BD9" i="8"/>
  <c r="BA13" i="8"/>
  <c r="AA10" i="16"/>
  <c r="I19" i="8"/>
  <c r="S15"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AB13" i="21"/>
  <c r="BG12" i="8"/>
  <c r="K12" i="7" s="1"/>
  <c r="Z13" i="17"/>
  <c r="AE19" i="8"/>
  <c r="AC10" i="11"/>
  <c r="G10" i="3"/>
  <c r="AO17" i="11"/>
  <c r="J10" i="2"/>
  <c r="AN12" i="11"/>
  <c r="D10" i="6"/>
  <c r="AL16" i="11"/>
  <c r="AA9" i="16"/>
  <c r="L9" i="2"/>
  <c r="L16" i="2"/>
  <c r="L15" i="2"/>
  <c r="L10" i="2"/>
  <c r="BK10" i="11"/>
  <c r="BH12" i="16"/>
  <c r="BM9" i="11"/>
  <c r="BF15" i="11"/>
  <c r="BM17" i="11"/>
  <c r="Q15" i="17"/>
  <c r="Q18" i="17" s="1"/>
  <c r="BH10" i="16"/>
  <c r="R11" i="14"/>
  <c r="BL10" i="11"/>
  <c r="BL15" i="11"/>
  <c r="BF12" i="11"/>
  <c r="P15" i="17"/>
  <c r="BG12" i="11"/>
  <c r="S11" i="14"/>
  <c r="V11" i="14" s="1"/>
  <c r="BU16" i="17"/>
  <c r="BV11" i="16"/>
  <c r="BV17" i="16"/>
  <c r="BK17" i="11"/>
  <c r="BJ12" i="11"/>
  <c r="S16" i="14"/>
  <c r="V16" i="14" s="1"/>
  <c r="S9" i="17"/>
  <c r="AO9" i="11"/>
  <c r="BF16" i="11"/>
  <c r="BH15" i="16"/>
  <c r="BH9" i="16"/>
  <c r="F15" i="16"/>
  <c r="BL15" i="16" s="1"/>
  <c r="BE12" i="21"/>
  <c r="BE9" i="13"/>
  <c r="AL9" i="11"/>
  <c r="E11" i="6"/>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6" i="12" l="1"/>
  <c r="J12" i="12"/>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<sst xmlns="http://schemas.openxmlformats.org/spreadsheetml/2006/main" count="2094" uniqueCount="913">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</sst>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p3rAKTZW1duPRrNGuG4sey+EwVF8YWT1Yexn3WlVixmCzrFm4pSUTsS2AXCZh18F1jbUdFKJ/yMR4ZHcfnYng==" saltValue="qxsh2Y7dWU9pxYuwtbJC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3</v>
      </c>
      <c r="F10" s="230">
        <f>IF(ISNUMBER(Datos!K10),Datos!K10," - ")</f>
        <v>3</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29.333333333333332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53.36774193548387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3</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296</v>
      </c>
      <c r="D16" s="229">
        <f>IF(ISNUMBER(IF(D_I="SI",Datos!I16,Datos!I16+Datos!AC16)),IF(D_I="SI",Datos!I16,Datos!I16+Datos!AC16)," - ")</f>
        <v>296</v>
      </c>
      <c r="E16" s="230">
        <f>IF(ISNUMBER(IF(D_I="SI",Datos!J16,Datos!J16+Datos!AD16)),IF(D_I="SI",Datos!J16,Datos!J16+Datos!AD16)," - ")</f>
        <v>192</v>
      </c>
      <c r="F16" s="230">
        <f>IF(ISNUMBER(IF(D_I="SI",Datos!K16,Datos!K16+Datos!AE16)),IF(D_I="SI",Datos!K16,Datos!K16+Datos!AE16)," - ")</f>
        <v>183</v>
      </c>
      <c r="G16" s="1189" t="str">
        <f>IF(Datos!E16&lt;&gt;"",Datos!E16,Datos!D16)</f>
        <v>04</v>
      </c>
      <c r="H16" s="231">
        <f>IF(ISNUMBER(IF(D_I="SI",Datos!L16,Datos!L16+Datos!AF16)),IF(D_I="SI",Datos!L16,Datos!L16+Datos!AF16)," - ")</f>
        <v>305</v>
      </c>
      <c r="I16" s="1199" t="str">
        <f>IF(ISNUMBER(Datos!AS16/Datos!BM16),Datos!AS16/Datos!BM16," - ")</f>
        <v xml:space="preserve"> - </v>
      </c>
      <c r="J16" s="1200">
        <f>IF(ISNUMBER(Datos!BY16/Datos!CN16),Datos!BY16/Datos!CN16," - ")</f>
        <v>0</v>
      </c>
      <c r="K16" s="234">
        <f t="shared" si="3"/>
        <v>3.0405405405405407E-2</v>
      </c>
      <c r="L16" s="1201">
        <f>IF(ISNUMBER(NºAsuntos!I16/NºAsuntos!G16),(NºAsuntos!I16/NºAsuntos!G16)*11," - ")</f>
        <v>18.333333333333336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17</v>
      </c>
      <c r="E17" s="230">
        <f>IF(ISNUMBER(IF(D_I="SI",Datos!J17,Datos!J17+Datos!AD17)),IF(D_I="SI",Datos!J17,Datos!J17+Datos!AD17)," - ")</f>
        <v>26</v>
      </c>
      <c r="F17" s="230">
        <f>IF(ISNUMBER(IF(D_I="SI",Datos!K17,Datos!K17+Datos!AE17)),IF(D_I="SI",Datos!K17,Datos!K17+Datos!AE17)," - ")</f>
        <v>21</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0.29411764705882354</v>
      </c>
      <c r="L17" s="1201">
        <f>IF(ISNUMBER(NºAsuntos!I17/NºAsuntos!G17),(NºAsuntos!I17/NºAsuntos!G17)*11," - ")</f>
        <v>11.523809523809524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313</v>
      </c>
      <c r="D18" s="1206">
        <f>SUBTOTAL(9,D15:D17)</f>
        <v>313</v>
      </c>
      <c r="E18" s="1207">
        <f>SUBTOTAL(9,E15:E17)</f>
        <v>218</v>
      </c>
      <c r="F18" s="1207">
        <f>SUBTOTAL(9,F15:F17)</f>
        <v>204</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321</v>
      </c>
      <c r="D19" s="1228">
        <f>SUBTOTAL(9,D9:D18)</f>
        <v>321</v>
      </c>
      <c r="E19" s="1229">
        <f>SUBTOTAL(9,E9:E18)</f>
        <v>221</v>
      </c>
      <c r="F19" s="1229">
        <f>SUBTOTAL(9,F9:F18)</f>
        <v>207</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sM6acZBT8N3vcTBT52t8dpPuvn5tUBjPvZr4cHNWnyL3weO704dZ0z6OR+YjslyCRnnTsZTokbrivLJy1icjQ==" saltValue="6VzRQ/+TQ5gm/CQM7XCS+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OZ1Qdfy6+JQs+zrF3H5dOkuMyL4912bFuNUDbK2WyWAqH+y/Xv1nzfVZ9yg0M1eOhgzLZxwRplOdwVYrlJPqw==" saltValue="7+KTmc5dFabZ8g4nE/cr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3</v>
      </c>
      <c r="K10" s="185">
        <v>3</v>
      </c>
      <c r="L10" s="185">
        <v>8</v>
      </c>
      <c r="M10" s="185">
        <v>1</v>
      </c>
      <c r="N10" s="185">
        <v>1</v>
      </c>
      <c r="O10" s="185">
        <v>0</v>
      </c>
      <c r="P10" s="185">
        <v>0</v>
      </c>
      <c r="Q10" s="185">
        <v>0</v>
      </c>
      <c r="R10" s="185">
        <v>3</v>
      </c>
      <c r="S10" s="185">
        <v>4</v>
      </c>
      <c r="T10" s="185">
        <v>2</v>
      </c>
      <c r="U10" s="185">
        <v>0</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2</v>
      </c>
      <c r="BA10" s="130">
        <f t="shared" si="0"/>
        <v>0</v>
      </c>
      <c r="BB10" s="130">
        <f t="shared" si="0"/>
        <v>6</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658</v>
      </c>
      <c r="J12" s="187">
        <v>223</v>
      </c>
      <c r="K12" s="187">
        <v>147</v>
      </c>
      <c r="L12" s="187">
        <v>734</v>
      </c>
      <c r="M12" s="187">
        <v>40</v>
      </c>
      <c r="N12" s="187">
        <v>91</v>
      </c>
      <c r="O12" s="185">
        <v>59</v>
      </c>
      <c r="P12" s="187">
        <v>55</v>
      </c>
      <c r="Q12" s="187">
        <v>39</v>
      </c>
      <c r="R12" s="187">
        <v>897</v>
      </c>
      <c r="S12" s="187">
        <v>694</v>
      </c>
      <c r="T12" s="187">
        <v>198</v>
      </c>
      <c r="U12" s="187">
        <v>182</v>
      </c>
      <c r="V12" s="187">
        <v>709</v>
      </c>
      <c r="W12" s="187">
        <v>24</v>
      </c>
      <c r="X12" s="193">
        <v>93</v>
      </c>
      <c r="Y12" s="195">
        <v>13</v>
      </c>
      <c r="Z12" s="185">
        <v>13</v>
      </c>
      <c r="AA12" s="185">
        <v>8</v>
      </c>
      <c r="AB12" s="185">
        <v>18</v>
      </c>
      <c r="AC12" s="187">
        <v>0</v>
      </c>
      <c r="AD12" s="187">
        <v>0</v>
      </c>
      <c r="AE12" s="187">
        <v>0</v>
      </c>
      <c r="AF12" s="193">
        <v>0</v>
      </c>
      <c r="AG12" s="206">
        <v>6</v>
      </c>
      <c r="AH12" s="187">
        <v>10</v>
      </c>
      <c r="AI12" s="187">
        <v>5</v>
      </c>
      <c r="AJ12" s="207">
        <v>11</v>
      </c>
      <c r="AK12" s="186">
        <v>0</v>
      </c>
      <c r="AL12" s="187">
        <v>0</v>
      </c>
      <c r="AM12" s="187">
        <v>0</v>
      </c>
      <c r="AN12" s="193">
        <v>0</v>
      </c>
      <c r="AO12" s="263">
        <v>1</v>
      </c>
      <c r="AP12" s="159">
        <v>1</v>
      </c>
      <c r="AQ12" s="159">
        <v>1</v>
      </c>
      <c r="AR12" s="158">
        <v>1</v>
      </c>
      <c r="AS12" s="349" t="s">
        <v>811</v>
      </c>
      <c r="AT12" s="207"/>
      <c r="AU12" s="206"/>
      <c r="AV12" s="207"/>
      <c r="AW12" s="206"/>
      <c r="AX12" s="207"/>
      <c r="AY12" s="127">
        <f t="shared" si="1"/>
        <v>700</v>
      </c>
      <c r="AZ12" s="128">
        <f t="shared" si="1"/>
        <v>208</v>
      </c>
      <c r="BA12" s="128">
        <f t="shared" si="1"/>
        <v>187</v>
      </c>
      <c r="BB12" s="128">
        <f t="shared" si="1"/>
        <v>720</v>
      </c>
      <c r="BC12" s="126">
        <f>IF(ISNUMBER(X12),X12," - ")</f>
        <v>93</v>
      </c>
      <c r="BD12" s="127">
        <f t="shared" si="2"/>
        <v>0.89903846153846156</v>
      </c>
      <c r="BE12" s="128">
        <f t="shared" si="3"/>
        <v>3.8502673796791442</v>
      </c>
      <c r="BF12" s="128">
        <f t="shared" si="4"/>
        <v>0.49732620320855614</v>
      </c>
      <c r="BG12" s="200">
        <f t="shared" si="5"/>
        <v>4.855614973262032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666</v>
      </c>
      <c r="J13" s="188">
        <f t="shared" si="6"/>
        <v>226</v>
      </c>
      <c r="K13" s="188">
        <f t="shared" si="6"/>
        <v>150</v>
      </c>
      <c r="L13" s="188">
        <f t="shared" si="6"/>
        <v>742</v>
      </c>
      <c r="M13" s="188">
        <f t="shared" si="6"/>
        <v>41</v>
      </c>
      <c r="N13" s="188">
        <f t="shared" si="6"/>
        <v>92</v>
      </c>
      <c r="O13" s="188">
        <f t="shared" si="6"/>
        <v>59</v>
      </c>
      <c r="P13" s="188">
        <f t="shared" si="6"/>
        <v>55</v>
      </c>
      <c r="Q13" s="188">
        <f t="shared" si="6"/>
        <v>39</v>
      </c>
      <c r="R13" s="188">
        <f t="shared" si="6"/>
        <v>900</v>
      </c>
      <c r="S13" s="188">
        <f t="shared" si="6"/>
        <v>698</v>
      </c>
      <c r="T13" s="188">
        <f t="shared" si="6"/>
        <v>200</v>
      </c>
      <c r="U13" s="188">
        <f t="shared" si="6"/>
        <v>182</v>
      </c>
      <c r="V13" s="188">
        <f t="shared" si="6"/>
        <v>715</v>
      </c>
      <c r="W13" s="188">
        <f t="shared" si="6"/>
        <v>24</v>
      </c>
      <c r="X13" s="188">
        <f t="shared" si="6"/>
        <v>93</v>
      </c>
      <c r="Y13" s="188">
        <f t="shared" si="6"/>
        <v>13</v>
      </c>
      <c r="Z13" s="188">
        <f t="shared" si="6"/>
        <v>13</v>
      </c>
      <c r="AA13" s="188">
        <f t="shared" si="6"/>
        <v>8</v>
      </c>
      <c r="AB13" s="188">
        <f t="shared" si="6"/>
        <v>18</v>
      </c>
      <c r="AC13" s="188">
        <f t="shared" si="6"/>
        <v>0</v>
      </c>
      <c r="AD13" s="188">
        <f t="shared" si="6"/>
        <v>0</v>
      </c>
      <c r="AE13" s="188">
        <f t="shared" si="6"/>
        <v>0</v>
      </c>
      <c r="AF13" s="188">
        <f>SUBTOTAL(9,AF9:AF12)</f>
        <v>0</v>
      </c>
      <c r="AG13" s="188">
        <f t="shared" ref="AG13:AT13" si="7">SUBTOTAL(9,AG8:AG12)</f>
        <v>6</v>
      </c>
      <c r="AH13" s="188">
        <f t="shared" si="7"/>
        <v>10</v>
      </c>
      <c r="AI13" s="188">
        <f t="shared" si="7"/>
        <v>5</v>
      </c>
      <c r="AJ13" s="188">
        <f t="shared" si="7"/>
        <v>11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704</v>
      </c>
      <c r="AZ13" s="188">
        <f>SUBTOTAL(9,AZ8:AZ12)</f>
        <v>210</v>
      </c>
      <c r="BA13" s="188">
        <f>SUBTOTAL(9,BA8:BA12)</f>
        <v>187</v>
      </c>
      <c r="BB13" s="188">
        <f>SUBTOTAL(9,BB8:BB12)</f>
        <v>726</v>
      </c>
      <c r="BC13" s="188">
        <f>SUBTOTAL(9,BC8:BC12)</f>
        <v>93</v>
      </c>
      <c r="BD13" s="209">
        <f>IF(ISNUMBER(BA13/AZ13),BA13/AZ13," - ")</f>
        <v>0.89047619047619042</v>
      </c>
      <c r="BE13" s="210">
        <f>IF(ISNUMBER(BB13/BA13),BB13/BA13, " - ")</f>
        <v>3.8823529411764706</v>
      </c>
      <c r="BF13" s="210">
        <f>IF(ISNUMBER(BC13/BA13),BC13/BA13, " - ")</f>
        <v>0.49732620320855614</v>
      </c>
      <c r="BG13" s="211">
        <f>IF(ISNUMBER((AY13+AZ13)/BA13),(AY13+AZ13)/BA13," - ")</f>
        <v>4.8877005347593583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296</v>
      </c>
      <c r="J16" s="187">
        <v>192</v>
      </c>
      <c r="K16" s="187">
        <v>183</v>
      </c>
      <c r="L16" s="187">
        <v>305</v>
      </c>
      <c r="M16" s="187">
        <v>33</v>
      </c>
      <c r="N16" s="187">
        <v>124</v>
      </c>
      <c r="O16" s="185">
        <v>3</v>
      </c>
      <c r="P16" s="187">
        <v>8</v>
      </c>
      <c r="Q16" s="187">
        <v>3</v>
      </c>
      <c r="R16" s="187">
        <v>23</v>
      </c>
      <c r="S16" s="187">
        <v>241</v>
      </c>
      <c r="T16" s="187">
        <v>226</v>
      </c>
      <c r="U16" s="187">
        <v>190</v>
      </c>
      <c r="V16" s="187">
        <v>277</v>
      </c>
      <c r="W16" s="187">
        <v>20</v>
      </c>
      <c r="X16" s="193">
        <v>125</v>
      </c>
      <c r="Y16" s="206">
        <v>0</v>
      </c>
      <c r="Z16" s="187">
        <v>0</v>
      </c>
      <c r="AA16" s="187">
        <v>0</v>
      </c>
      <c r="AB16" s="187">
        <v>0</v>
      </c>
      <c r="AC16" s="187">
        <v>1</v>
      </c>
      <c r="AD16" s="187">
        <v>3</v>
      </c>
      <c r="AE16" s="187">
        <v>3</v>
      </c>
      <c r="AF16" s="193">
        <v>1</v>
      </c>
      <c r="AG16" s="206">
        <v>0</v>
      </c>
      <c r="AH16" s="187">
        <v>0</v>
      </c>
      <c r="AI16" s="187">
        <v>0</v>
      </c>
      <c r="AJ16" s="207">
        <v>0</v>
      </c>
      <c r="AK16" s="186">
        <v>2</v>
      </c>
      <c r="AL16" s="187">
        <v>1</v>
      </c>
      <c r="AM16" s="187">
        <v>2</v>
      </c>
      <c r="AN16" s="193">
        <v>1</v>
      </c>
      <c r="AO16" s="263">
        <v>1</v>
      </c>
      <c r="AP16" s="159">
        <v>1</v>
      </c>
      <c r="AQ16" s="159">
        <v>1</v>
      </c>
      <c r="AR16" s="159">
        <v>1</v>
      </c>
      <c r="AS16" s="349" t="s">
        <v>491</v>
      </c>
      <c r="AT16" s="207"/>
      <c r="AU16" s="206"/>
      <c r="AV16" s="207"/>
      <c r="AW16" s="206"/>
      <c r="AX16" s="207"/>
      <c r="AY16" s="127">
        <f t="shared" si="9"/>
        <v>241</v>
      </c>
      <c r="AZ16" s="128">
        <f t="shared" si="9"/>
        <v>226</v>
      </c>
      <c r="BA16" s="128">
        <f t="shared" si="9"/>
        <v>190</v>
      </c>
      <c r="BB16" s="128">
        <f t="shared" si="9"/>
        <v>277</v>
      </c>
      <c r="BC16" s="126">
        <f>IF(ISNUMBER(W16),W16," - ")</f>
        <v>20</v>
      </c>
      <c r="BD16" s="127">
        <f t="shared" ref="BD16" si="11">IF(ISNUMBER(BA16/AZ16),BA16/AZ16," - ")</f>
        <v>0.84070796460176989</v>
      </c>
      <c r="BE16" s="128">
        <f t="shared" ref="BE16" si="12">IF(ISNUMBER(BB16/BA16),BB16/BA16, " - ")</f>
        <v>1.4578947368421054</v>
      </c>
      <c r="BF16" s="128">
        <f t="shared" ref="BF16" si="13">IF(ISNUMBER(BC16/BA16),BC16/BA16, " - ")</f>
        <v>0.10526315789473684</v>
      </c>
      <c r="BG16" s="200">
        <f t="shared" si="10"/>
        <v>2.4578947368421051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v>
      </c>
      <c r="J17" s="187">
        <v>26</v>
      </c>
      <c r="K17" s="187">
        <v>21</v>
      </c>
      <c r="L17" s="187">
        <v>22</v>
      </c>
      <c r="M17" s="187">
        <v>2</v>
      </c>
      <c r="N17" s="187">
        <v>14</v>
      </c>
      <c r="O17" s="187">
        <v>0</v>
      </c>
      <c r="P17" s="187">
        <v>0</v>
      </c>
      <c r="Q17" s="187">
        <v>0</v>
      </c>
      <c r="R17" s="187">
        <v>0</v>
      </c>
      <c r="S17" s="187">
        <v>15</v>
      </c>
      <c r="T17" s="187">
        <v>18</v>
      </c>
      <c r="U17" s="187">
        <v>18</v>
      </c>
      <c r="V17" s="187">
        <v>15</v>
      </c>
      <c r="W17" s="187">
        <v>1</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18</v>
      </c>
      <c r="BA17" s="130">
        <f t="shared" si="14"/>
        <v>18</v>
      </c>
      <c r="BB17" s="130">
        <f t="shared" si="14"/>
        <v>15</v>
      </c>
      <c r="BC17" s="126">
        <f>IF(ISNUMBER(W17),W17," - ")</f>
        <v>1</v>
      </c>
      <c r="BD17" s="127">
        <f>IF(ISNUMBER(BA17/AZ17),BA17/AZ17," - ")</f>
        <v>1</v>
      </c>
      <c r="BE17" s="128">
        <f>IF(ISNUMBER(BB17/BA17),BB17/BA17, " - ")</f>
        <v>0.83333333333333337</v>
      </c>
      <c r="BF17" s="128">
        <f>IF(ISNUMBER(BC17/BA17),BC17/BA17, " - ")</f>
        <v>5.5555555555555552E-2</v>
      </c>
      <c r="BG17" s="200">
        <f>IF(ISNUMBER((AY17+AZ17)/BA17),(AY17+AZ17)/BA17," - ")</f>
        <v>1.8333333333333333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313</v>
      </c>
      <c r="J18" s="188">
        <f t="shared" si="15"/>
        <v>218</v>
      </c>
      <c r="K18" s="188">
        <f t="shared" si="15"/>
        <v>204</v>
      </c>
      <c r="L18" s="188">
        <f t="shared" si="15"/>
        <v>327</v>
      </c>
      <c r="M18" s="188">
        <f t="shared" si="15"/>
        <v>35</v>
      </c>
      <c r="N18" s="188">
        <f t="shared" si="15"/>
        <v>138</v>
      </c>
      <c r="O18" s="188">
        <f t="shared" si="15"/>
        <v>3</v>
      </c>
      <c r="P18" s="188">
        <f t="shared" si="15"/>
        <v>8</v>
      </c>
      <c r="Q18" s="188">
        <f t="shared" si="15"/>
        <v>3</v>
      </c>
      <c r="R18" s="188">
        <f t="shared" si="15"/>
        <v>23</v>
      </c>
      <c r="S18" s="188">
        <f t="shared" si="15"/>
        <v>256</v>
      </c>
      <c r="T18" s="188">
        <f t="shared" si="15"/>
        <v>244</v>
      </c>
      <c r="U18" s="188">
        <f t="shared" si="15"/>
        <v>208</v>
      </c>
      <c r="V18" s="188">
        <f t="shared" si="15"/>
        <v>292</v>
      </c>
      <c r="W18" s="188">
        <f t="shared" si="15"/>
        <v>21</v>
      </c>
      <c r="X18" s="188">
        <f t="shared" si="15"/>
        <v>133</v>
      </c>
      <c r="Y18" s="188">
        <f t="shared" si="15"/>
        <v>0</v>
      </c>
      <c r="Z18" s="188">
        <f t="shared" si="15"/>
        <v>0</v>
      </c>
      <c r="AA18" s="188">
        <f t="shared" si="15"/>
        <v>0</v>
      </c>
      <c r="AB18" s="188">
        <f t="shared" si="15"/>
        <v>0</v>
      </c>
      <c r="AC18" s="188">
        <f t="shared" si="15"/>
        <v>1</v>
      </c>
      <c r="AD18" s="188">
        <f t="shared" si="15"/>
        <v>3</v>
      </c>
      <c r="AE18" s="188">
        <f t="shared" si="15"/>
        <v>3</v>
      </c>
      <c r="AF18" s="188">
        <f t="shared" si="15"/>
        <v>1</v>
      </c>
      <c r="AG18" s="188">
        <f t="shared" si="15"/>
        <v>0</v>
      </c>
      <c r="AH18" s="188">
        <f t="shared" si="15"/>
        <v>0</v>
      </c>
      <c r="AI18" s="188">
        <f t="shared" si="15"/>
        <v>0</v>
      </c>
      <c r="AJ18" s="188">
        <f t="shared" si="15"/>
        <v>0</v>
      </c>
      <c r="AK18" s="188">
        <f t="shared" si="15"/>
        <v>2</v>
      </c>
      <c r="AL18" s="188">
        <f t="shared" si="15"/>
        <v>1</v>
      </c>
      <c r="AM18" s="188">
        <f t="shared" si="15"/>
        <v>2</v>
      </c>
      <c r="AN18" s="188">
        <f t="shared" si="15"/>
        <v>1</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256</v>
      </c>
      <c r="AZ18" s="188">
        <f>SUBTOTAL(9,AZ14:AZ17)</f>
        <v>244</v>
      </c>
      <c r="BA18" s="188">
        <f>SUBTOTAL(9,BA14:BA17)</f>
        <v>208</v>
      </c>
      <c r="BB18" s="188">
        <f>SUBTOTAL(9,BB14:BB17)</f>
        <v>292</v>
      </c>
      <c r="BC18" s="188">
        <f>SUBTOTAL(9,BC14:BC17)</f>
        <v>21</v>
      </c>
      <c r="BD18" s="209">
        <f>IF(ISNUMBER(BA18/AZ18),BA18/AZ18," - ")</f>
        <v>0.85245901639344257</v>
      </c>
      <c r="BE18" s="210">
        <f>IF(ISNUMBER(BB18/BA18),BB18/BA18, " - ")</f>
        <v>1.4038461538461537</v>
      </c>
      <c r="BF18" s="210">
        <f>IF(ISNUMBER(BC18/BA18),BC18/BA18, " - ")</f>
        <v>0.10096153846153846</v>
      </c>
      <c r="BG18" s="211">
        <f>IF(ISNUMBER((AY18+AZ18)/BA18),(AY18+AZ18)/BA18," - ")</f>
        <v>2.4038461538461537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979</v>
      </c>
      <c r="J19" s="135">
        <f t="shared" si="18"/>
        <v>444</v>
      </c>
      <c r="K19" s="135">
        <f t="shared" si="18"/>
        <v>354</v>
      </c>
      <c r="L19" s="135">
        <f t="shared" si="18"/>
        <v>1069</v>
      </c>
      <c r="M19" s="135">
        <f t="shared" si="18"/>
        <v>76</v>
      </c>
      <c r="N19" s="135">
        <f t="shared" si="18"/>
        <v>230</v>
      </c>
      <c r="O19" s="135">
        <f t="shared" si="18"/>
        <v>62</v>
      </c>
      <c r="P19" s="135">
        <f t="shared" si="18"/>
        <v>63</v>
      </c>
      <c r="Q19" s="135">
        <f t="shared" si="18"/>
        <v>42</v>
      </c>
      <c r="R19" s="135">
        <f t="shared" si="18"/>
        <v>923</v>
      </c>
      <c r="S19" s="135">
        <f t="shared" si="18"/>
        <v>954</v>
      </c>
      <c r="T19" s="135">
        <f t="shared" si="18"/>
        <v>444</v>
      </c>
      <c r="U19" s="135">
        <f t="shared" si="18"/>
        <v>390</v>
      </c>
      <c r="V19" s="135">
        <f t="shared" si="18"/>
        <v>1007</v>
      </c>
      <c r="W19" s="135">
        <f t="shared" si="18"/>
        <v>45</v>
      </c>
      <c r="X19" s="135">
        <f t="shared" si="18"/>
        <v>226</v>
      </c>
      <c r="Y19" s="135">
        <f t="shared" si="18"/>
        <v>13</v>
      </c>
      <c r="Z19" s="135">
        <f t="shared" si="18"/>
        <v>13</v>
      </c>
      <c r="AA19" s="135">
        <f t="shared" si="18"/>
        <v>8</v>
      </c>
      <c r="AB19" s="135">
        <f t="shared" si="18"/>
        <v>18</v>
      </c>
      <c r="AC19" s="135">
        <f t="shared" si="18"/>
        <v>1</v>
      </c>
      <c r="AD19" s="135">
        <f t="shared" si="18"/>
        <v>3</v>
      </c>
      <c r="AE19" s="135">
        <f t="shared" si="18"/>
        <v>3</v>
      </c>
      <c r="AF19" s="135">
        <f t="shared" si="18"/>
        <v>1</v>
      </c>
      <c r="AG19" s="135">
        <f t="shared" si="18"/>
        <v>6</v>
      </c>
      <c r="AH19" s="135">
        <f t="shared" si="18"/>
        <v>10</v>
      </c>
      <c r="AI19" s="135">
        <f t="shared" si="18"/>
        <v>5</v>
      </c>
      <c r="AJ19" s="135">
        <f t="shared" si="18"/>
        <v>11</v>
      </c>
      <c r="AK19" s="135">
        <f t="shared" si="18"/>
        <v>2</v>
      </c>
      <c r="AL19" s="135">
        <f t="shared" si="18"/>
        <v>1</v>
      </c>
      <c r="AM19" s="135">
        <f t="shared" si="18"/>
        <v>2</v>
      </c>
      <c r="AN19" s="214">
        <f t="shared" si="18"/>
        <v>1</v>
      </c>
      <c r="AO19" s="215">
        <v>2</v>
      </c>
      <c r="AP19" s="215">
        <v>1</v>
      </c>
      <c r="AQ19" s="215">
        <v>1</v>
      </c>
      <c r="AR19" s="215">
        <v>1</v>
      </c>
      <c r="AS19" s="157">
        <f t="shared" si="18"/>
        <v>0</v>
      </c>
      <c r="AT19" s="157">
        <f t="shared" si="18"/>
        <v>0</v>
      </c>
      <c r="AU19" s="215"/>
      <c r="AV19" s="216"/>
      <c r="AW19" s="215"/>
      <c r="AX19" s="216"/>
      <c r="AY19" s="134">
        <f>SUBTOTAL(9,AY9:AY18)</f>
        <v>960</v>
      </c>
      <c r="AZ19" s="135">
        <f>SUBTOTAL(9,AZ9:AZ18)</f>
        <v>454</v>
      </c>
      <c r="BA19" s="135">
        <f>SUBTOTAL(9,BA9:BA18)</f>
        <v>395</v>
      </c>
      <c r="BB19" s="135">
        <f>SUBTOTAL(9,BB9:BB18)</f>
        <v>1018</v>
      </c>
      <c r="BC19" s="136">
        <f>SUBTOTAL(9,BC9:BC18)</f>
        <v>114</v>
      </c>
      <c r="BD19" s="217">
        <f>IF(ISNUMBER(BA19/AZ19),BA19/AZ19," - ")</f>
        <v>0.87004405286343611</v>
      </c>
      <c r="BE19" s="214">
        <f>IF(ISNUMBER(BB19/BA19),BB19/BA19, " - ")</f>
        <v>2.5772151898734177</v>
      </c>
      <c r="BF19" s="214">
        <f>IF(ISNUMBER(BC19/BA19),BC19/BA19, " - ")</f>
        <v>0.28860759493670884</v>
      </c>
      <c r="BG19" s="136">
        <f>IF(ISNUMBER((AY19+AZ19)/BA19),(AY19+AZ19)/BA19," - ")</f>
        <v>3.579746835443038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12PPkxvooAPinYb+s2qfm8KNUfr0prLw3hOs+GN8p+qjLvlhLMBBgM7flRFVidRvvdlk5+CAkkrYBqX8fpgdg==" saltValue="5ep6OK8ONK/jGCvE4e9kS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gcemMku02Nw3W2jcvuMfR4i4VZDvNiYtTz8vp38rg8jMcCcObwGU9sNVNg4xKX1DWSTQ63EpqufbJO8H7F10A==" saltValue="ivkDjxrnCwat3F19GKggK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RIPOLL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8</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5.333333333333333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897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40</v>
      </c>
      <c r="BD12" s="619">
        <f>IF(ISNUMBER(Datos!N12),Datos!N12," - ")</f>
        <v>91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0.65677966101694918</v>
      </c>
      <c r="BH12" s="669">
        <f>IF(ISNUMBER(((IF(J_V="SI",Datos!L12/Datos!K12,(Datos!L12+Datos!AB12)/(Datos!K12+Datos!AA12)))*11)/factor_trimestre),((IF(J_V="SI",Datos!L12/Datos!K12,(Datos!L12+Datos!AB12)/(Datos!K12+Datos!AA12)))*11)/factor_trimestre," - ")</f>
        <v>9.7032258064516128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1.8161180476730987E-2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39</v>
      </c>
      <c r="AD13" s="1045">
        <f t="shared" si="1"/>
        <v>0</v>
      </c>
      <c r="AE13" s="1045">
        <f t="shared" si="1"/>
        <v>0</v>
      </c>
      <c r="AF13" s="1045">
        <f t="shared" si="1"/>
        <v>8</v>
      </c>
      <c r="AG13" s="1045">
        <f t="shared" si="1"/>
        <v>0</v>
      </c>
      <c r="AH13" s="1045">
        <f t="shared" si="1"/>
        <v>18</v>
      </c>
      <c r="AI13" s="1045">
        <f t="shared" si="1"/>
        <v>0</v>
      </c>
      <c r="AJ13" s="1045">
        <f t="shared" si="1"/>
        <v>0</v>
      </c>
      <c r="AK13" s="1045">
        <f t="shared" si="1"/>
        <v>0</v>
      </c>
      <c r="AL13" s="1045">
        <f t="shared" si="1"/>
        <v>0</v>
      </c>
      <c r="AM13" s="1045">
        <f t="shared" si="1"/>
        <v>900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v>
      </c>
      <c r="BD13" s="1045">
        <f t="shared" si="1"/>
        <v>92</v>
      </c>
      <c r="BE13" s="1045">
        <f t="shared" si="1"/>
        <v>0</v>
      </c>
      <c r="BF13" s="1045">
        <f t="shared" si="1"/>
        <v>0</v>
      </c>
      <c r="BG13" s="1045">
        <f>IF(ISNUMBER(Datos!K13/Datos!J13),Datos!K13/Datos!J13," - ")</f>
        <v>0.66371681415929207</v>
      </c>
      <c r="BH13" s="1049">
        <f>IF(ISNUMBER(((Datos!L13/Datos!K13)*11)/factor_trimestre),((Datos!L13/Datos!K13)*11)/factor_trimestre," - ")</f>
        <v>9.8933333333333326</v>
      </c>
      <c r="BI13" s="1045">
        <f>IF(ISNUMBER('Resol  Asuntos'!D13/NºAsuntos!G13),'Resol  Asuntos'!D13/NºAsuntos!G13," - ")</f>
        <v>0.25949367088607594</v>
      </c>
      <c r="BJ13" s="1045" t="str">
        <f>IF(ISNUMBER(Datos!CI13/Datos!CJ13),Datos!CI13/Datos!CJ13," - ")</f>
        <v xml:space="preserve"> - </v>
      </c>
      <c r="BK13" s="1045">
        <f>SUBTOTAL(9,BK8:BK12)</f>
        <v>0</v>
      </c>
      <c r="BL13" s="1045">
        <f>IF(ISNUMBER((I13-AB13+L13)/(F13)),(I13-AB13+L13)/(F13)," - ")</f>
        <v>-0.375</v>
      </c>
      <c r="BM13" s="1050">
        <f>SUBTOTAL(9,BM9:BM12)</f>
        <v>1.8161180476730987E-2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296</v>
      </c>
      <c r="G16" s="650">
        <f>IF(ISNUMBER(IF(D_I="SI",Datos!I16,Datos!I16+Datos!AC16)),IF(D_I="SI",Datos!I16,Datos!I16+Datos!AC16)," - ")</f>
        <v>296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183</v>
      </c>
      <c r="AC16" s="230">
        <f>IF(ISNUMBER(Datos!Q16),Datos!Q16," - ")</f>
        <v>3</v>
      </c>
      <c r="AD16" s="343"/>
      <c r="AE16" s="515"/>
      <c r="AF16" s="648">
        <f>IF(ISNUMBER(IF(D_I="SI",Datos!L16,Datos!L16+Datos!AF16)),IF(D_I="SI",Datos!L16,Datos!L16+Datos!AF16)," - ")</f>
        <v>305</v>
      </c>
      <c r="AG16" s="343"/>
      <c r="AH16" s="343"/>
      <c r="AI16" s="343"/>
      <c r="AJ16" s="503"/>
      <c r="AK16" s="343"/>
      <c r="AL16" s="499"/>
      <c r="AM16" s="344">
        <f>IF(ISNUMBER(Datos!R16),Datos!R16," - ")</f>
        <v>23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124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0.953125</v>
      </c>
      <c r="BH16" s="669">
        <f>IF(ISNUMBER(((IF(D_I="SI",Datos!L16/Datos!K16,(Datos!L16+Datos!AF16)/(Datos!K16+Datos!AE16)))*11)/factor_trimestre),((IF(D_I="SI",Datos!L16/Datos!K16,(Datos!L16+Datos!AF16)/(Datos!K16+Datos!AE16)))*11)/factor_trimestre," - ")</f>
        <v>3.3333333333333339</v>
      </c>
      <c r="BI16" s="247">
        <f>IF(ISNUMBER('Resol  Asuntos'!D16/NºAsuntos!G16),'Resol  Asuntos'!D16/NºAsuntos!G16," - ")</f>
        <v>0.18032786885245902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v>
      </c>
      <c r="AC17" s="501">
        <f>IF(ISNUMBER(Datos!Q17),Datos!Q17," - ")</f>
        <v>0</v>
      </c>
      <c r="AD17" s="503"/>
      <c r="AE17" s="515"/>
      <c r="AF17" s="505">
        <f>IF(ISNUMBER(Datos!L17),Datos!L17,"-")</f>
        <v>22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0.80769230769230771</v>
      </c>
      <c r="BH17" s="669">
        <f>IF(ISNUMBER(((IF(D_I="SI",Datos!L17/Datos!K17,(Datos!L17+Datos!AF17)/(Datos!K17+Datos!AE17)))*11)/factor_trimestre),((IF(D_I="SI",Datos!L17/Datos!K17,(Datos!L17+Datos!AF17)/(Datos!K17+Datos!AE17)))*11)/factor_trimestre," - ")</f>
        <v>2.0952380952380953</v>
      </c>
      <c r="BI17" s="668">
        <f>IF(ISNUMBER('Resol  Asuntos'!D17/NºAsuntos!G17),'Resol  Asuntos'!D17/NºAsuntos!G17," - ")</f>
        <v>9.5238095238095233E-2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296</v>
      </c>
      <c r="G18" s="1044">
        <f>SUBTOTAL(9,G15:G17)</f>
        <v>313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204</v>
      </c>
      <c r="AC18" s="1045">
        <f t="shared" si="4"/>
        <v>3</v>
      </c>
      <c r="AD18" s="1045">
        <f t="shared" si="4"/>
        <v>0</v>
      </c>
      <c r="AE18" s="1045">
        <f t="shared" si="4"/>
        <v>0</v>
      </c>
      <c r="AF18" s="1045">
        <f t="shared" si="4"/>
        <v>327</v>
      </c>
      <c r="AG18" s="1045">
        <f t="shared" si="4"/>
        <v>0</v>
      </c>
      <c r="AH18" s="1045">
        <f t="shared" si="4"/>
        <v>0</v>
      </c>
      <c r="AI18" s="1045">
        <f t="shared" si="4"/>
        <v>0</v>
      </c>
      <c r="AJ18" s="1045">
        <f t="shared" si="4"/>
        <v>0</v>
      </c>
      <c r="AK18" s="1045">
        <f t="shared" si="4"/>
        <v>0</v>
      </c>
      <c r="AL18" s="1045">
        <f t="shared" si="4"/>
        <v>0</v>
      </c>
      <c r="AM18" s="1045">
        <f t="shared" si="4"/>
        <v>23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v>
      </c>
      <c r="BD18" s="1045">
        <f t="shared" si="4"/>
        <v>138</v>
      </c>
      <c r="BE18" s="1045">
        <f t="shared" si="4"/>
        <v>0</v>
      </c>
      <c r="BF18" s="1045">
        <f t="shared" si="4"/>
        <v>0</v>
      </c>
      <c r="BG18" s="1045">
        <f>IF(ISNUMBER(Datos!K18/Datos!J18),Datos!K18/Datos!J18," - ")</f>
        <v>0.93577981651376152</v>
      </c>
      <c r="BH18" s="1049">
        <f>IF(ISNUMBER(((Datos!L18/Datos!K18)*11)/factor_trimestre),((Datos!L18/Datos!K18)*11)/factor_trimestre," - ")</f>
        <v>3.2058823529411766</v>
      </c>
      <c r="BI18" s="1045">
        <f>SUBTOTAL(9,BI15:BI17)</f>
        <v>0.27556596409055423</v>
      </c>
      <c r="BJ18" s="1045">
        <f>SUBTOTAL(9,BJ15:BJ17)</f>
        <v>0</v>
      </c>
      <c r="BK18" s="1045">
        <f>SUBTOTAL(9,BK15:BK17)</f>
        <v>0</v>
      </c>
      <c r="BL18" s="1045">
        <f>IF(ISNUMBER((I18-AB18+L18)/(F18)),(I18-AB18+L18)/(F18)," - ")</f>
        <v>-0.68918918918918914</v>
      </c>
      <c r="BM18" s="1051">
        <f>IF(ISNUMBER((Datos!P18-Datos!Q18)/(Datos!R18-Datos!P18+Datos!Q18)),(Datos!P18-Datos!Q18)/(Datos!R18-Datos!P18+Datos!Q18)," - ")</f>
        <v>0.27777777777777779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304</v>
      </c>
      <c r="G19" s="966">
        <f t="shared" si="6"/>
        <v>321</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207</v>
      </c>
      <c r="AC19" s="967">
        <f t="shared" si="7"/>
        <v>42</v>
      </c>
      <c r="AD19" s="967">
        <f t="shared" si="7"/>
        <v>0</v>
      </c>
      <c r="AE19" s="967">
        <f t="shared" si="7"/>
        <v>0</v>
      </c>
      <c r="AF19" s="974">
        <f t="shared" si="7"/>
        <v>335</v>
      </c>
      <c r="AG19" s="974">
        <f t="shared" si="7"/>
        <v>0</v>
      </c>
      <c r="AH19" s="974">
        <f t="shared" si="7"/>
        <v>18</v>
      </c>
      <c r="AI19" s="974">
        <f t="shared" si="7"/>
        <v>0</v>
      </c>
      <c r="AJ19" s="967">
        <f t="shared" si="7"/>
        <v>0</v>
      </c>
      <c r="AK19" s="974">
        <f t="shared" si="7"/>
        <v>0</v>
      </c>
      <c r="AL19" s="974">
        <f t="shared" si="7"/>
        <v>0</v>
      </c>
      <c r="AM19" s="974">
        <f t="shared" si="7"/>
        <v>923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76</v>
      </c>
      <c r="BD19" s="966">
        <f t="shared" si="7"/>
        <v>230</v>
      </c>
      <c r="BE19" s="966">
        <f t="shared" si="7"/>
        <v>0</v>
      </c>
      <c r="BF19" s="976">
        <f t="shared" si="7"/>
        <v>0</v>
      </c>
      <c r="BG19" s="1061">
        <f>IF(ISNUMBER(Datos!K19/Datos!J19),Datos!K19/Datos!J19," - ")</f>
        <v>0.79729729729729726</v>
      </c>
      <c r="BH19" s="1061">
        <f>IF(ISNUMBER(((Datos!L19/Datos!K19)*11)/factor_trimestre),((Datos!L19/Datos!K19)*11)/factor_trimestre," - ")</f>
        <v>6.0395480225988702</v>
      </c>
      <c r="BI19" s="959">
        <f>IF(ISNUMBER(Datos!J19/Datos!I19),Datos!J19/Datos!I19," - ")</f>
        <v>0.45352400408580185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-0.68092105263157898</v>
      </c>
      <c r="BM19" s="1035">
        <f>IF(ISNUMBER((Datos!P19-Datos!Q19+R19)/(Datos!R19-Datos!P19+Datos!Q19-R19)),(Datos!P19-Datos!Q19+R19)/(Datos!R19-Datos!P19+Datos!Q19-R19)," - ")</f>
        <v>2.3281596452328159E-2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166.27687752661222</v>
      </c>
      <c r="G21" s="600">
        <f>IF(ISNUMBER(STDEV(G8:G18)),STDEV(G8:G18),"-")</f>
        <v>160.91084488001422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101.59330686615138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18.704723111200195</v>
      </c>
      <c r="BD21" s="599"/>
      <c r="BE21" s="599">
        <f>IF(ISNUMBER(STDEV(BE8:BE18)),STDEV(BE8:BE18),"-")</f>
        <v>0</v>
      </c>
      <c r="BF21" s="604">
        <f>IF(ISNUMBER(STDEV(BF8:BF18)),STDEV(BF8:BF18),"-")</f>
        <v>0</v>
      </c>
      <c r="BG21" s="914">
        <f>IF(ISNUMBER(STDEV(BG8:BG18)),STDEV(BG8:BG18),"-")</f>
        <v>0.1504478843681944</v>
      </c>
      <c r="BH21" s="918">
        <f>IF(ISNUMBER(STDEV(BH8:BH18)),STDEV(BH8:BH18),"-")</f>
        <v>3.4203217822547858</v>
      </c>
      <c r="BI21" s="253">
        <f>IF(ISNUMBER(STDEV(BI8:BI18)),STDEV(BI8:BI18),"-")</f>
        <v>8.2832230841985544E-2</v>
      </c>
      <c r="BJ21" s="234" t="str">
        <f>IF(ISNUMBER(BL21/BM21),BL21/BM21," - ")</f>
        <v xml:space="preserve"> - </v>
      </c>
      <c r="BK21" s="626"/>
      <c r="BL21" s="607">
        <f>IF(ISNUMBER(STDEV(BL8:BL18)),STDEV(BL8:BL18),"-")</f>
        <v>0.22216530625117895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JDX/MrWWNvndm1YgmQet2quq+WWA3/FQSxPTqYFcJYcONScFPHQrwily5yCap0XCCiWO1RJGLavsaGJiHSs9A==" saltValue="JWO6pbaf0EThMUBAGtLG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RIPOLL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8</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5.333333333333333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39</v>
      </c>
      <c r="AA12" s="505" t="str">
        <f>IF(ISNUMBER(IF(J_V="SI",Datos!L12,Datos!L12+Datos!AB12)-IF(Monitorios="SI",Datos!CD12,0)),
                          IF(J_V="SI",Datos!L12,Datos!L12+Datos!AB12)-IF(Monitorios="SI",Datos!CD12,0),
                          " - ")</f>
        <v xml:space="preserve"> - </v>
      </c>
      <c r="AB12" s="503"/>
      <c r="AC12" s="503"/>
      <c r="AD12" s="516"/>
      <c r="AE12" s="516">
        <f>IF(ISNUMBER(Datos!R12),Datos!R12," - ")</f>
        <v>897</v>
      </c>
      <c r="AF12" s="619" t="str">
        <f>IF(ISNUMBER(Datos!BV12),Datos!BV12," - ")</f>
        <v xml:space="preserve"> - </v>
      </c>
      <c r="AG12" s="506" t="str">
        <f>IF(ISNUMBER(Datos!DV12),Datos!DV12," - ")</f>
        <v xml:space="preserve"> - </v>
      </c>
      <c r="AH12" s="507"/>
      <c r="AI12" s="508"/>
      <c r="AJ12" s="506">
        <f>IF(ISNUMBER(Datos!M12),Datos!M12," - ")</f>
        <v>40</v>
      </c>
      <c r="AK12" s="619">
        <f>IF(ISNUMBER(Datos!N12),Datos!N12," - ")</f>
        <v>91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9.7032258064516128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1.8161180476730987E-2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39</v>
      </c>
      <c r="AA13" s="1046">
        <f t="shared" si="2"/>
        <v>8</v>
      </c>
      <c r="AB13" s="1046">
        <f t="shared" si="2"/>
        <v>0</v>
      </c>
      <c r="AC13" s="1046">
        <f t="shared" si="2"/>
        <v>0</v>
      </c>
      <c r="AD13" s="1046">
        <f t="shared" si="2"/>
        <v>0</v>
      </c>
      <c r="AE13" s="1046">
        <f t="shared" si="2"/>
        <v>900</v>
      </c>
      <c r="AF13" s="1054">
        <f t="shared" si="2"/>
        <v>0</v>
      </c>
      <c r="AG13" s="1054">
        <f t="shared" si="2"/>
        <v>0</v>
      </c>
      <c r="AH13" s="1054">
        <f t="shared" si="2"/>
        <v>0</v>
      </c>
      <c r="AI13" s="1054">
        <f t="shared" si="2"/>
        <v>0</v>
      </c>
      <c r="AJ13" s="1054">
        <f t="shared" si="2"/>
        <v>41</v>
      </c>
      <c r="AK13" s="1054">
        <f t="shared" si="2"/>
        <v>92</v>
      </c>
      <c r="AL13" s="1054">
        <f t="shared" si="2"/>
        <v>0</v>
      </c>
      <c r="AM13" s="1054">
        <f t="shared" si="2"/>
        <v>0</v>
      </c>
      <c r="AN13" s="1054">
        <f t="shared" si="2"/>
        <v>0</v>
      </c>
      <c r="AO13" s="1050">
        <f>IF(ISNUMBER(((NºAsuntos!I13/NºAsuntos!G13)*11)/factor_trimestre),((NºAsuntos!I13/NºAsuntos!G13)*11)/factor_trimestre," - ")</f>
        <v>9.6202531645569618</v>
      </c>
      <c r="AP13" s="1056" t="str">
        <f>IF(ISNUMBER(Datos!CI13/Datos!CJ13),Datos!CI13/Datos!CJ13," - ")</f>
        <v xml:space="preserve"> - </v>
      </c>
      <c r="AQ13" s="1074">
        <f t="shared" ref="AQ13:AV13" si="3">SUBTOTAL(9,AQ9:AQ12)</f>
        <v>0</v>
      </c>
      <c r="AR13" s="1074">
        <f t="shared" si="3"/>
        <v>1.8161180476730987E-2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296</v>
      </c>
      <c r="G16" s="506">
        <f>IF(ISNUMBER(IF(D_I="SI",Datos!I16,Datos!I16+Datos!AC16)),IF(D_I="SI",Datos!I16,Datos!I16+Datos!AC16)," - ")</f>
        <v>296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183</v>
      </c>
      <c r="Z16" s="703">
        <f>IF(ISNUMBER(Datos!Q16),Datos!Q16," - ")</f>
        <v>3</v>
      </c>
      <c r="AA16" s="505">
        <f>IF(ISNUMBER(IF(D_I="SI",Datos!L16,Datos!L16+Datos!AF16)),IF(D_I="SI",Datos!L16,Datos!L16+Datos!AF16)," - ")</f>
        <v>305</v>
      </c>
      <c r="AB16" s="503"/>
      <c r="AC16" s="503"/>
      <c r="AD16" s="516"/>
      <c r="AE16" s="516">
        <f>IF(ISNUMBER(Datos!R16),Datos!R16," - ")</f>
        <v>23</v>
      </c>
      <c r="AF16" s="619" t="str">
        <f>IF(ISNUMBER(Datos!BV16),Datos!BV16," - ")</f>
        <v xml:space="preserve"> - </v>
      </c>
      <c r="AG16" s="506"/>
      <c r="AH16" s="507"/>
      <c r="AI16" s="508"/>
      <c r="AJ16" s="506">
        <f>IF(ISNUMBER(Datos!M16),Datos!M16," - ")</f>
        <v>33</v>
      </c>
      <c r="AK16" s="619">
        <f>IF(ISNUMBER(Datos!N16),Datos!N16," - ")</f>
        <v>124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3.3333333333333339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v>
      </c>
      <c r="Z17" s="703">
        <f>IF(ISNUMBER(Datos!Q17),Datos!Q17," - ")</f>
        <v>0</v>
      </c>
      <c r="AA17" s="505">
        <f>IF(ISNUMBER(Datos!L17),Datos!L17,"-")</f>
        <v>22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2.0952380952380953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296</v>
      </c>
      <c r="G18" s="1044">
        <f>SUBTOTAL(9,G15:G17)</f>
        <v>313</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204</v>
      </c>
      <c r="Z18" s="1078">
        <f t="shared" si="5"/>
        <v>3</v>
      </c>
      <c r="AA18" s="1078">
        <f t="shared" si="5"/>
        <v>327</v>
      </c>
      <c r="AB18" s="1078">
        <f t="shared" si="5"/>
        <v>0</v>
      </c>
      <c r="AC18" s="1078">
        <f t="shared" si="5"/>
        <v>0</v>
      </c>
      <c r="AD18" s="1078">
        <f t="shared" si="5"/>
        <v>0</v>
      </c>
      <c r="AE18" s="1078">
        <f t="shared" si="5"/>
        <v>23</v>
      </c>
      <c r="AF18" s="1078">
        <f t="shared" si="5"/>
        <v>0</v>
      </c>
      <c r="AG18" s="1078">
        <f t="shared" si="5"/>
        <v>0</v>
      </c>
      <c r="AH18" s="1078">
        <f t="shared" si="5"/>
        <v>0</v>
      </c>
      <c r="AI18" s="1078">
        <f t="shared" si="5"/>
        <v>0</v>
      </c>
      <c r="AJ18" s="1078">
        <f t="shared" si="5"/>
        <v>35</v>
      </c>
      <c r="AK18" s="1078">
        <f t="shared" si="5"/>
        <v>138</v>
      </c>
      <c r="AL18" s="1078">
        <f t="shared" si="5"/>
        <v>0</v>
      </c>
      <c r="AM18" s="1078">
        <f t="shared" si="5"/>
        <v>0</v>
      </c>
      <c r="AN18" s="1078">
        <f t="shared" si="5"/>
        <v>0</v>
      </c>
      <c r="AO18" s="1080">
        <f>IF(ISNUMBER(((NºAsuntos!I18/NºAsuntos!G18)*11)/factor_trimestre),((NºAsuntos!I18/NºAsuntos!G18)*11)/factor_trimestre," - ")</f>
        <v>3.2058823529411766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304</v>
      </c>
      <c r="G19" s="966">
        <f t="shared" si="7"/>
        <v>321</v>
      </c>
      <c r="H19" s="967">
        <f t="shared" si="7"/>
        <v>0</v>
      </c>
      <c r="I19" s="966">
        <f t="shared" si="7"/>
        <v>0</v>
      </c>
      <c r="J19" s="968">
        <f t="shared" si="7"/>
        <v>0</v>
      </c>
      <c r="K19" s="966">
        <f t="shared" si="7"/>
        <v>0</v>
      </c>
      <c r="L19" s="969">
        <f t="shared" si="7"/>
        <v>0</v>
      </c>
      <c r="M19" s="966">
        <f t="shared" si="7"/>
        <v>0</v>
      </c>
      <c r="N19" s="967">
        <f t="shared" si="7"/>
        <v>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207</v>
      </c>
      <c r="Z19" s="973">
        <f t="shared" si="8"/>
        <v>42</v>
      </c>
      <c r="AA19" s="974">
        <f t="shared" si="8"/>
        <v>335</v>
      </c>
      <c r="AB19" s="974">
        <f t="shared" si="8"/>
        <v>0</v>
      </c>
      <c r="AC19" s="974">
        <f t="shared" si="8"/>
        <v>0</v>
      </c>
      <c r="AD19" s="975">
        <f t="shared" si="8"/>
        <v>0</v>
      </c>
      <c r="AE19" s="975">
        <f t="shared" si="8"/>
        <v>923</v>
      </c>
      <c r="AF19" s="976">
        <f t="shared" si="8"/>
        <v>0</v>
      </c>
      <c r="AG19" s="977">
        <f t="shared" si="8"/>
        <v>0</v>
      </c>
      <c r="AH19" s="978">
        <f t="shared" si="8"/>
        <v>0</v>
      </c>
      <c r="AI19" s="976">
        <f t="shared" si="8"/>
        <v>0</v>
      </c>
      <c r="AJ19" s="966">
        <f t="shared" si="8"/>
        <v>76</v>
      </c>
      <c r="AK19" s="966">
        <f t="shared" si="8"/>
        <v>230</v>
      </c>
      <c r="AL19" s="966">
        <f t="shared" si="8"/>
        <v>0</v>
      </c>
      <c r="AM19" s="979">
        <f t="shared" si="8"/>
        <v>0</v>
      </c>
      <c r="AN19" s="969">
        <f>IF(ISNUMBER(Datos!K19/Datos!J19),Datos!K19/Datos!J19," - ")</f>
        <v>0.79729729729729726</v>
      </c>
      <c r="AO19" s="969">
        <f>IF(ISNUMBER(FIND("06",Criterios!A8,1)),(IF(ISNUMBER(((Datos!R19/Datos!Q19)*11)/factor_trimestre),((Datos!R19/Datos!Q19)*11)/factor_trimestre," - ")),(IF(ISNUMBER(((Datos!L19/Datos!K19)*11)/factor_trimestre),((Datos!L19/Datos!K19)*11)/factor_trimestre," - ")))</f>
        <v>6.0395480225988702</v>
      </c>
      <c r="AP19" s="980" t="str">
        <f>IF(ISNUMBER(Datos!CI19/Datos!CJ19),Datos!CI19/Datos!CJ19," - ")</f>
        <v xml:space="preserve"> - </v>
      </c>
      <c r="AQ19" s="980">
        <f>IF(OR(ISNUMBER(FIND("01",Criterios!A8,1)),ISNUMBER(FIND("02",Criterios!A8,1)),ISNUMBER(FIND("03",Criterios!A8,1)),ISNUMBER(FIND("04",Criterios!A8,1))),(J19-Y19+K19)/(F19-K19),(I19-Y19+K19)/(F19-K19))</f>
        <v>-0.68092105263157898</v>
      </c>
      <c r="AR19" s="980">
        <f>IF(ISNUMBER((Datos!P19-Datos!Q19+O19)/(Datos!R19-Datos!P19+Datos!Q19-O19)),(Datos!P19-Datos!Q19+O19)/(Datos!R19-Datos!P19+Datos!Q19-O19)," - ")</f>
        <v>2.3281596452328159E-2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166.27687752661222</v>
      </c>
      <c r="G21" s="600">
        <f>IF(ISNUMBER(STDEV(G8:G18)),STDEV(G8:G18),"-")</f>
        <v>160.91084488001422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18.704723111200195</v>
      </c>
      <c r="AK21" s="256"/>
      <c r="AL21" s="256">
        <f>IF(ISNUMBER(STDEV(AL8:AL18)),STDEV(AL8:AL18),"-")</f>
        <v>0</v>
      </c>
      <c r="AM21" s="258">
        <f>IF(ISNUMBER(STDEV(AM8:AM18)),STDEV(AM8:AM18),"-")</f>
        <v>0</v>
      </c>
      <c r="AN21" s="586">
        <f>IF(ISNUMBER(STDEV(AN8:AN18)),STDEV(AN8:AN18),"-")</f>
        <v>0</v>
      </c>
      <c r="AO21" s="587">
        <f>IF(ISNUMBER(STDEV(AO8:AO18)),STDEV(AO8:AO18),"-")</f>
        <v>3.352821367947334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BVB6xYrNcsak9D9jY0fd3WO2f2tKCBIC7hWJ9TUXpGT+9nqqZ/P9nw9pJk9WOFU0OUK9mPRZrP3amwRFw6pXA==" saltValue="8avjq3wV+ROd3p5Nz0zO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jq1SpogBlQg6n52ocakIN4OlIVttbnASIbMljOpdFfN4fcZIbByRDPaCjvC6Hk042aJn1ZsyimyKw09DYR2MA==" saltValue="z4/rM2pgt7Q8baBgKgwS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gUgvU/TOGC5ILlKP6uXMqnbw2NTmUoEMp5gK6ZAS3P/agf6Fi9cO5phI+2EMf12ujbE8Npfu4HOHdrBErbbNA==" saltValue="ierR4N9lSbE450K5m7tm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RIPOLL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0.25949367088607594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0.1834897343585345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YjyB8C1njm+SVyymQ56jkVO6GOuRsfodVmNb6KE4PyMpFd+9JC229LY1phfSKbrAcNDUEJE9O6dwRB5L5WlmQ==" saltValue="6NzWH6ofYLDQs38xXkzS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ZKYgsr29FCPAd3AMCpsxbdoj74EUtLqMTtDppX7p7GQuC/8UjEJGeEYaL+/8m97pq5l+Iekf/ywojsiOMOSA==" saltValue="40T3Vw56CZeWWwe/wB/d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RIPOLL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3</v>
      </c>
      <c r="F10" s="415">
        <f>IF(ISNUMBER(E10/B10),E10/B10," - ")</f>
        <v>3</v>
      </c>
      <c r="G10" s="414">
        <f>IF(ISNUMBER(Datos!K10),Datos!K10," - ")</f>
        <v>3</v>
      </c>
      <c r="H10" s="415">
        <f>IF(ISNUMBER(G10/B10),G10/B10," - ")</f>
        <v>3</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671</v>
      </c>
      <c r="D12" s="415">
        <f>IF(ISNUMBER(C12/Datos!BH12),C12/Datos!BH12," - ")</f>
        <v>671</v>
      </c>
      <c r="E12" s="414">
        <f>IF(ISNUMBER(IF(J_V="SI",Datos!J12,Datos!J12+Datos!Z12)),IF(J_V="SI",Datos!J12,Datos!J12+Datos!Z12)," - ")</f>
        <v>236</v>
      </c>
      <c r="F12" s="415">
        <f>IF(ISNUMBER(E12/B12),E12/B12," - ")</f>
        <v>236</v>
      </c>
      <c r="G12" s="414">
        <f>IF(ISNUMBER(IF(J_V="SI",Datos!K12,Datos!K12+Datos!AA12)),IF(J_V="SI",Datos!K12,Datos!K12+Datos!AA12)," - ")</f>
        <v>155</v>
      </c>
      <c r="H12" s="415">
        <f>IF(ISNUMBER(G12/B12),G12/B12," - ")</f>
        <v>155</v>
      </c>
      <c r="I12" s="414">
        <f>IF(ISNUMBER(IF(J_V="SI",Datos!L12,Datos!L12+Datos!AB12)),IF(J_V="SI",Datos!L12,Datos!L12+Datos!AB12)," - ")</f>
        <v>752</v>
      </c>
      <c r="J12" s="415">
        <f>IF(ISNUMBER(I12/B12),I12/B12," - ")</f>
        <v>752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679</v>
      </c>
      <c r="D13" s="996" t="str">
        <f>IF(ISNUMBER(C13/Datos!BI13),C13/Datos!BI13," - ")</f>
        <v xml:space="preserve"> - </v>
      </c>
      <c r="E13" s="995">
        <f>SUBTOTAL(9,E8:E12)</f>
        <v>239</v>
      </c>
      <c r="F13" s="996">
        <f>IF(ISNUMBER(E13/B13),E13/B13," - ")</f>
        <v>239</v>
      </c>
      <c r="G13" s="995">
        <f>SUBTOTAL(9,G8:G12)</f>
        <v>158</v>
      </c>
      <c r="H13" s="996">
        <f>IF(ISNUMBER(G13/B13),G13/B13," - ")</f>
        <v>158</v>
      </c>
      <c r="I13" s="995">
        <f>SUBTOTAL(9,I8:I12)</f>
        <v>760</v>
      </c>
      <c r="J13" s="996">
        <f>IF(ISNUMBER(I13/B13),I13/B13," - ")</f>
        <v>760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296</v>
      </c>
      <c r="D16" s="415">
        <f>IF(ISNUMBER(C16/Datos!BH16),C16/Datos!BH16," - ")</f>
        <v>296</v>
      </c>
      <c r="E16" s="414">
        <f>IF(ISNUMBER(IF(D_I="SI",Datos!J16,Datos!J16+Datos!AD16)),IF(D_I="SI",Datos!J16,Datos!J16+Datos!AD16)," - ")</f>
        <v>192</v>
      </c>
      <c r="F16" s="415">
        <f>IF(ISNUMBER(E16/B16),E16/B16," - ")</f>
        <v>192</v>
      </c>
      <c r="G16" s="414">
        <f>IF(ISNUMBER(IF(D_I="SI",Datos!K16,Datos!K16+Datos!AE16)),IF(D_I="SI",Datos!K16,Datos!K16+Datos!AE16)," - ")</f>
        <v>183</v>
      </c>
      <c r="H16" s="415">
        <f>IF(ISNUMBER(G16/B16),G16/B16," - ")</f>
        <v>183</v>
      </c>
      <c r="I16" s="414">
        <f>IF(ISNUMBER(IF(D_I="SI",Datos!L16,Datos!L16+Datos!AF16)),IF(D_I="SI",Datos!L16,Datos!L16+Datos!AF16)," - ")</f>
        <v>305</v>
      </c>
      <c r="J16" s="415">
        <f>IF(ISNUMBER(I16/B16),I16/B16," - ")</f>
        <v>305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v>
      </c>
      <c r="D17" s="415">
        <f>IF(ISNUMBER(C17/Datos!BH17),C17/Datos!BH17," - ")</f>
        <v>17</v>
      </c>
      <c r="E17" s="414">
        <f>IF(ISNUMBER(IF(D_I="SI",Datos!J17,Datos!J17+Datos!AD17)),IF(D_I="SI",Datos!J17,Datos!J17+Datos!AD17)," - ")</f>
        <v>26</v>
      </c>
      <c r="F17" s="415">
        <f>IF(ISNUMBER(E17/B17),E17/B17," - ")</f>
        <v>26</v>
      </c>
      <c r="G17" s="414">
        <f>IF(ISNUMBER(IF(D_I="SI",Datos!K17,Datos!K17+Datos!AE17)),IF(D_I="SI",Datos!K17,Datos!K17+Datos!AE17)," - ")</f>
        <v>21</v>
      </c>
      <c r="H17" s="415">
        <f>IF(ISNUMBER(G17/B17),G17/B17," - ")</f>
        <v>21</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313</v>
      </c>
      <c r="D18" s="996" t="str">
        <f>IF(ISNUMBER(C18/Datos!BI18),C18/Datos!BI18," - ")</f>
        <v xml:space="preserve"> - </v>
      </c>
      <c r="E18" s="995">
        <f>SUBTOTAL(9,E14:E17)</f>
        <v>218</v>
      </c>
      <c r="F18" s="996">
        <f>IF(ISNUMBER(E18/B18),E18/B18," - ")</f>
        <v>218</v>
      </c>
      <c r="G18" s="995">
        <f>SUBTOTAL(9,G14:G17)</f>
        <v>204</v>
      </c>
      <c r="H18" s="996">
        <f>IF(ISNUMBER(G18/B18),G18/B18," - ")</f>
        <v>204</v>
      </c>
      <c r="I18" s="995">
        <f>SUBTOTAL(9,I14:I17)</f>
        <v>327</v>
      </c>
      <c r="J18" s="996">
        <f>IF(ISNUMBER(I18/B18),I18/B18," - ")</f>
        <v>327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992</v>
      </c>
      <c r="D19" s="941" t="str">
        <f>IF(ISNUMBER(C19/Datos!BI19),C19/Datos!BI19," - ")</f>
        <v xml:space="preserve"> - </v>
      </c>
      <c r="E19" s="940">
        <f>SUBTOTAL(9,E9:E18)</f>
        <v>457</v>
      </c>
      <c r="F19" s="941">
        <f>IF(ISNUMBER(E19/B19),E19/B19," - ")</f>
        <v>457</v>
      </c>
      <c r="G19" s="940">
        <f>SUBTOTAL(9,G9:G18)</f>
        <v>362</v>
      </c>
      <c r="H19" s="941">
        <f>IF(ISNUMBER(G19/B19),G19/B19," - ")</f>
        <v>362</v>
      </c>
      <c r="I19" s="940">
        <f>SUBTOTAL(9,I9:I18)</f>
        <v>1087</v>
      </c>
      <c r="J19" s="941">
        <f>IF(ISNUMBER(I19/B19),I19/B19," - ")</f>
        <v>1087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rgSxK7wjhX3T63I1Wf+1ccwQ2FkcwAa4vGGG9FWp8pl1xcLPiYv4ErpGlcheYYEoN9tXWc5IvX5xq/N57qtVQ==" saltValue="43Yj5KzgQ3DX9P4dFBCF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RIPOLL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5.333333333333333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897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40</v>
      </c>
      <c r="AM12" s="810">
        <f>IF(ISNUMBER(Datos!N12+DatosP!N16),Datos!N12+DatosP!N16," - ")</f>
        <v>91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9.7032258064516128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1.8161180476730987E-2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39</v>
      </c>
      <c r="AE13" s="1085">
        <f t="shared" si="1"/>
        <v>0</v>
      </c>
      <c r="AF13" s="1085">
        <f t="shared" si="1"/>
        <v>8</v>
      </c>
      <c r="AG13" s="1085">
        <f t="shared" si="1"/>
        <v>0</v>
      </c>
      <c r="AH13" s="1085">
        <f t="shared" si="1"/>
        <v>897</v>
      </c>
      <c r="AI13" s="1085">
        <f t="shared" si="1"/>
        <v>0</v>
      </c>
      <c r="AJ13" s="1085">
        <f t="shared" si="1"/>
        <v>0</v>
      </c>
      <c r="AK13" s="1085">
        <f t="shared" si="1"/>
        <v>0</v>
      </c>
      <c r="AL13" s="1085">
        <f t="shared" si="1"/>
        <v>41</v>
      </c>
      <c r="AM13" s="1085">
        <f t="shared" si="1"/>
        <v>92</v>
      </c>
      <c r="AN13" s="1085">
        <f t="shared" si="1"/>
        <v>0</v>
      </c>
      <c r="AO13" s="1085">
        <f t="shared" si="1"/>
        <v>0</v>
      </c>
      <c r="AP13" s="1090">
        <f>IF(ISNUMBER(((Datos!L13/Datos!K13)*11)/factor_trimestre),((Datos!L13/Datos!K13)*11)/factor_trimestre," - ")</f>
        <v>9.8933333333333326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-0.375</v>
      </c>
      <c r="AU13" s="1085" t="str">
        <f>IF(ISNUMBER((DatosP!#REF!-DatosP!#REF!+DatosP!#REF!)/(DatosP!#REF!+DatosP!#REF!-DatosP!#REF!-DatosP!#REF!)),(DatosP!#REF!-DatosP!#REF!+DatosP!#REF!)/(DatosP!#REF!+DatosP!#REF!-DatosP!#REF!-DatosP!#REF!)," - ")</f>
        <v xml:space="preserve"> - </v>
      </c>
      <c r="AV13" s="1091">
        <f>SUBTOTAL(9,AV9:AV12)</f>
        <v>1.8161180476730987E-2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3.2058823529411766</v>
      </c>
      <c r="AQ18" s="1090">
        <f>IF(ISNUMBER(((Datos!M18/Datos!L18)*11)/factor_trimestre),((Datos!M18/Datos!L18)*11)/factor_trimestre," - ")</f>
        <v>0.21406727828746178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0.27777777777777779</v>
      </c>
      <c r="AW18" s="1092">
        <f>IF(ISNUMBER((Datos!Q18-Datos!R18)/(Datos!S18-Datos!Q18+Datos!R18)),(Datos!Q18-Datos!R18)/(Datos!S18-Datos!Q18+Datos!R18)," - ")</f>
        <v>-7.2463768115942032E-2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39</v>
      </c>
      <c r="AE19" s="1103">
        <f t="shared" si="5"/>
        <v>0</v>
      </c>
      <c r="AF19" s="1104">
        <f t="shared" si="5"/>
        <v>8</v>
      </c>
      <c r="AG19" s="1104">
        <f t="shared" si="5"/>
        <v>0</v>
      </c>
      <c r="AH19" s="1104">
        <f t="shared" si="5"/>
        <v>897</v>
      </c>
      <c r="AI19" s="1104">
        <f t="shared" si="5"/>
        <v>0</v>
      </c>
      <c r="AJ19" s="1105">
        <f t="shared" si="5"/>
        <v>0</v>
      </c>
      <c r="AK19" s="1105">
        <f t="shared" si="5"/>
        <v>0</v>
      </c>
      <c r="AL19" s="1097">
        <f t="shared" si="5"/>
        <v>41</v>
      </c>
      <c r="AM19" s="1097">
        <f t="shared" si="5"/>
        <v>92</v>
      </c>
      <c r="AN19" s="1097">
        <f t="shared" si="5"/>
        <v>0</v>
      </c>
      <c r="AO19" s="1097">
        <f t="shared" si="5"/>
        <v>0</v>
      </c>
      <c r="AP19" s="1097">
        <f>IF(ISNUMBER(((Datos!L19/Datos!K19)*11)/factor_trimestre),((Datos!L19/Datos!K19)*11)/factor_trimestre," - ")</f>
        <v>6.0395480225988702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2.3281596452328159E-2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23.101226518664905</v>
      </c>
      <c r="AM21" s="869"/>
      <c r="AN21" s="869">
        <f>IF(ISNUMBER(STDEV(AN8:AN18)),STDEV(AN8:AN18),"-")</f>
        <v>0</v>
      </c>
      <c r="AO21" s="875">
        <f>IF(ISNUMBER(STDEV(AO8:AO18)),STDEV(AO8:AO18),"-")</f>
        <v>0</v>
      </c>
      <c r="AP21" s="922">
        <f>IF(ISNUMBER(STDEV(AP8:AP18)),STDEV(AP8:AP18),"-")</f>
        <v>3.3089426979573999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ACVuA0utlZnjaE+OaGf+fUueB8W4JirLDzsK0nO9VEffosTuiGbGbI7xSwDVfNU5xbnm5kAnizsEgTltt7vPZQ==" saltValue="C7kJ4Ww6vcHqkwk+8gWS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RIPOLL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hil1LUDfOf19U7zeOnNfCZiVPC1eiq0/C14sRv0KE78hLv7KeLXfMkoUnWIjFT8iGxJdwGiJlkjaAlF5hPJVjw==" saltValue="1dMDxO71yYR8eCP2WC66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RIPOLL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40</v>
      </c>
      <c r="E12" s="415">
        <f t="shared" si="0"/>
        <v>40</v>
      </c>
      <c r="F12" s="414">
        <f>IF(ISNUMBER(Datos!N12),Datos!N12," - ")</f>
        <v>91</v>
      </c>
      <c r="G12" s="415">
        <f t="shared" si="1"/>
        <v>91</v>
      </c>
      <c r="H12" s="414">
        <f>IF(ISNUMBER(Datos!O12),Datos!O12," - ")</f>
        <v>59</v>
      </c>
      <c r="I12" s="415">
        <f t="shared" si="2"/>
        <v>59</v>
      </c>
    </row>
    <row r="13" spans="1:9" ht="14.25" thickTop="1" thickBot="1">
      <c r="A13" s="994" t="str">
        <f>Datos!A13</f>
        <v>TOTAL</v>
      </c>
      <c r="B13" s="995">
        <f>Datos!AO13</f>
        <v>2</v>
      </c>
      <c r="C13" s="997">
        <f>Datos!AR13</f>
        <v>1</v>
      </c>
      <c r="D13" s="995">
        <f>SUBTOTAL(9,D9:D12)</f>
        <v>41</v>
      </c>
      <c r="E13" s="996">
        <f t="shared" si="0"/>
        <v>20.5</v>
      </c>
      <c r="F13" s="995">
        <f>SUBTOTAL(9,F9:F12)</f>
        <v>92</v>
      </c>
      <c r="G13" s="996">
        <f t="shared" si="1"/>
        <v>46</v>
      </c>
      <c r="H13" s="995">
        <f>SUBTOTAL(9,H9:H12)</f>
        <v>59</v>
      </c>
      <c r="I13" s="996">
        <f>IF(ISNUMBER(H13/B13),H13/B13," - ")</f>
        <v>29.5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33</v>
      </c>
      <c r="E16" s="415">
        <f t="shared" si="3"/>
        <v>33</v>
      </c>
      <c r="F16" s="414">
        <f>IF(ISNUMBER(Datos!N16),Datos!N16," - ")</f>
        <v>124</v>
      </c>
      <c r="G16" s="415">
        <f t="shared" si="4"/>
        <v>124</v>
      </c>
      <c r="H16" s="414">
        <f>IF(ISNUMBER(Datos!O16),Datos!O16," - ")</f>
        <v>3</v>
      </c>
      <c r="I16" s="415">
        <f t="shared" si="5"/>
        <v>3</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2</v>
      </c>
      <c r="C18" s="997">
        <f>Datos!AR18</f>
        <v>1</v>
      </c>
      <c r="D18" s="995">
        <f>SUBTOTAL(9,D15:D17)</f>
        <v>35</v>
      </c>
      <c r="E18" s="996">
        <f t="shared" si="3"/>
        <v>17.5</v>
      </c>
      <c r="F18" s="995">
        <f>SUBTOTAL(9,F15:F17)</f>
        <v>138</v>
      </c>
      <c r="G18" s="996">
        <f t="shared" si="4"/>
        <v>69</v>
      </c>
      <c r="H18" s="995">
        <f>SUBTOTAL(9,H15:H17)</f>
        <v>3</v>
      </c>
      <c r="I18" s="996">
        <f>IF(ISNUMBER(H18/B18),H18/B18," - ")</f>
        <v>1.5</v>
      </c>
    </row>
    <row r="19" spans="1:9" ht="14.25" thickTop="1" thickBot="1">
      <c r="A19" s="939" t="str">
        <f>Datos!A19</f>
        <v>TOTAL JURISDICCIONES</v>
      </c>
      <c r="B19" s="940">
        <f>Datos!AP19</f>
        <v>1</v>
      </c>
      <c r="C19" s="940">
        <f>Datos!AR19</f>
        <v>1</v>
      </c>
      <c r="D19" s="940">
        <f>SUBTOTAL(9,D8:D18)</f>
        <v>76</v>
      </c>
      <c r="E19" s="941">
        <f>IF(ISNUMBER(D19/B19),D19/B19," - ")</f>
        <v>76</v>
      </c>
      <c r="F19" s="940">
        <f>SUBTOTAL(9,F8:F18)</f>
        <v>230</v>
      </c>
      <c r="G19" s="941">
        <f>IF(ISNUMBER(F19/B19),F19/B19," - ")</f>
        <v>230</v>
      </c>
      <c r="H19" s="940">
        <f>SUBTOTAL(9,H8:H18)</f>
        <v>62</v>
      </c>
      <c r="I19" s="941">
        <f>IF(ISNUMBER(H19/B19),H19/B19," - ")</f>
        <v>62</v>
      </c>
    </row>
    <row r="22" spans="1:9">
      <c r="A22" s="402" t="str">
        <f>Criterios!A4</f>
        <v>Fecha Informe: 29 nov. 2023</v>
      </c>
    </row>
    <row r="27" spans="1:9">
      <c r="A27" s="425"/>
    </row>
  </sheetData>
  <sheetProtection algorithmName="SHA-512" hashValue="R41fTM6CKUZqgV2MnvBYuDRYhxi/tW0drN9gxK+P8/YfCvTOPVocz7kz5TCo0wlemMbP2vF2sIwa2/ZmQZcQFA==" saltValue="qiRRHnsVwqAtiXGZcuXo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RIPOLL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55</v>
      </c>
      <c r="C12" s="450">
        <f>IF(ISNUMBER(Datos!Q12),Datos!Q12," - ")</f>
        <v>39</v>
      </c>
      <c r="D12" s="419">
        <f>IF(ISNUMBER(Datos!R12),Datos!R12," - ")</f>
        <v>897</v>
      </c>
    </row>
    <row r="13" spans="1:4" ht="14.25" thickTop="1" thickBot="1">
      <c r="A13" s="994" t="str">
        <f>Datos!A13</f>
        <v>TOTAL</v>
      </c>
      <c r="B13" s="995">
        <f>SUBTOTAL(9,B9:B12)</f>
        <v>55</v>
      </c>
      <c r="C13" s="999">
        <f>SUBTOTAL(9,C9:C12)</f>
        <v>39</v>
      </c>
      <c r="D13" s="997">
        <f>SUBTOTAL(9,D9:D12)</f>
        <v>900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3</v>
      </c>
      <c r="D16" s="419">
        <f>IF(ISNUMBER(Datos!R16),Datos!R16," - ")</f>
        <v>23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3</v>
      </c>
      <c r="D18" s="997">
        <f>SUBTOTAL(9,D15:D17)</f>
        <v>23</v>
      </c>
    </row>
    <row r="19" spans="1:4" ht="16.5" customHeight="1" thickTop="1" thickBot="1">
      <c r="A19" s="939" t="str">
        <f>Datos!A19</f>
        <v>TOTAL JURISDICCIONES</v>
      </c>
      <c r="B19" s="944">
        <f>SUBTOTAL(9,B8:B18)</f>
        <v>63</v>
      </c>
      <c r="C19" s="945">
        <f>SUBTOTAL(9,C8:C18)</f>
        <v>42</v>
      </c>
      <c r="D19" s="946">
        <f>SUBTOTAL(9,D8:D18)</f>
        <v>923</v>
      </c>
    </row>
    <row r="20" spans="1:4" ht="7.5" customHeight="1"/>
    <row r="21" spans="1:4" ht="6" customHeight="1"/>
    <row r="22" spans="1:4">
      <c r="A22" s="402" t="str">
        <f>Criterios!A4</f>
        <v>Fecha Informe: 29 nov. 2023</v>
      </c>
    </row>
    <row r="27" spans="1:4">
      <c r="A27" s="425"/>
    </row>
  </sheetData>
  <sheetProtection algorithmName="SHA-512" hashValue="pFGr6NCwTB71BO64dqniVgRhyOqt11x5bUV2n+ObHwOk9vwsXS7jIFHpcOHPp0LGHdKLIwF06S+A9dXwR3kzNA==" saltValue="U2/c4rQIkXAJvEmkeUjY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RIPOLL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0.5</v>
      </c>
      <c r="D10" s="472" t="str">
        <f>IF(ISNUMBER((Datos!K10-Datos!U10)/Datos!U10),(Datos!K10-Datos!U10)/Datos!U10," - ")</f>
        <v xml:space="preserve"> - </v>
      </c>
      <c r="E10" s="472">
        <f>IF(ISNUMBER((Datos!L10-Datos!V10)/Datos!V10),(Datos!L10-Datos!V10)/Datos!V10," - ")</f>
        <v>0.33333333333333331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-4.1428571428571426E-2</v>
      </c>
      <c r="C12" s="472">
        <f>IF(ISNUMBER(
   IF(J_V="SI",(Datos!J12-Datos!T12)/Datos!T12,(Datos!J12+Datos!Z12-(Datos!T12+Datos!AH12))/(Datos!T12+Datos!AH12))
     ),IF(J_V="SI",(Datos!J12-Datos!T12)/Datos!T12,(Datos!J12+Datos!Z12-(Datos!T12+Datos!AH12))/(Datos!T12+Datos!AH12))," - ")</f>
        <v>0.13461538461538461</v>
      </c>
      <c r="D12" s="472">
        <f>IF(ISNUMBER(
   IF(J_V="SI",(Datos!K12-Datos!U12)/Datos!U12,(Datos!K12+Datos!AA12-(Datos!U12+Datos!AI12))/(Datos!U12+Datos!AI12))
     ),IF(J_V="SI",(Datos!K12-Datos!U12)/Datos!U12,(Datos!K12+Datos!AA12-(Datos!U12+Datos!AI12))/(Datos!U12+Datos!AI12))," - ")</f>
        <v>-0.17112299465240641</v>
      </c>
      <c r="E12" s="472">
        <f>IF(ISNUMBER(
   IF(J_V="SI",(Datos!L12-Datos!V12)/Datos!V12,(Datos!L12+Datos!AB12-(Datos!V12+Datos!AJ12))/(Datos!V12+Datos!AJ12))
     ),IF(J_V="SI",(Datos!L12-Datos!V12)/Datos!V12,(Datos!L12+Datos!AB12-(Datos!V12+Datos!AJ12))/(Datos!V12+Datos!AJ12))," - ")</f>
        <v>4.4444444444444446E-2</v>
      </c>
      <c r="F12" s="472">
        <f>IF(ISNUMBER((Datos!M12-Datos!W12)/Datos!W12),(Datos!M12-Datos!W12)/Datos!W12," - ")</f>
        <v>0.66666666666666663</v>
      </c>
      <c r="G12" s="473">
        <f>IF(ISNUMBER((Datos!N12-Datos!X12)/Datos!X12),(Datos!N12-Datos!X12)/Datos!X12," - ")</f>
        <v>-2.1505376344086023E-2</v>
      </c>
      <c r="H12" s="471">
        <f>IF(ISNUMBER(((NºAsuntos!G12/NºAsuntos!E12)-Datos!BD12)/Datos!BD12),((NºAsuntos!G12/NºAsuntos!E12)-Datos!BD12)/Datos!BD12," - ")</f>
        <v>-0.2694643342699175</v>
      </c>
      <c r="I12" s="472">
        <f>IF(ISNUMBER(((NºAsuntos!I12/NºAsuntos!G12)-Datos!BE12)/Datos!BE12),((NºAsuntos!I12/NºAsuntos!G12)-Datos!BE12)/Datos!BE12," - ")</f>
        <v>0.26007168458781366</v>
      </c>
      <c r="J12" s="477">
        <f>IF(ISNUMBER((('Resol  Asuntos'!D12/NºAsuntos!G12)-Datos!BF12)/Datos!BF12),(('Resol  Asuntos'!D12/NºAsuntos!G12)-Datos!BF12)/Datos!BF12," - ")</f>
        <v>-0.48109608047173086</v>
      </c>
      <c r="K12" s="478">
        <f>IF(ISNUMBER((((NºAsuntos!C12+NºAsuntos!E12)/NºAsuntos!G12)-Datos!BG12)/Datos!BG12),(((NºAsuntos!C12+NºAsuntos!E12)/NºAsuntos!G12)-Datos!BG12)/Datos!BG12," - ")</f>
        <v>0.20512292169958793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-3.551136363636364E-2</v>
      </c>
      <c r="C13" s="1001">
        <f>IF(ISNUMBER(
   IF(J_V="SI",(Datos!J13-Datos!T13)/Datos!T13,(Datos!J13+Datos!Z13-(Datos!T13+Datos!AH13))/(Datos!T13+Datos!AH13))
     ),IF(J_V="SI",(Datos!J13-Datos!T13)/Datos!T13,(Datos!J13+Datos!Z13-(Datos!T13+Datos!AH13))/(Datos!T13+Datos!AH13))," - ")</f>
        <v>0.1380952380952381</v>
      </c>
      <c r="D13" s="1001">
        <f>IF(ISNUMBER(
   IF(J_V="SI",(Datos!K13-Datos!U13)/Datos!U13,(Datos!K13+Datos!AA13-(Datos!U13+Datos!AI13))/(Datos!U13+Datos!AI13))
     ),IF(J_V="SI",(Datos!K13-Datos!U13)/Datos!U13,(Datos!K13+Datos!AA13-(Datos!U13+Datos!AI13))/(Datos!U13+Datos!AI13))," - ")</f>
        <v>-0.15508021390374332</v>
      </c>
      <c r="E13" s="1001">
        <f>IF(ISNUMBER(
   IF(J_V="SI",(Datos!L13-Datos!V13)/Datos!V13,(Datos!L13+Datos!AB13-(Datos!V13+Datos!AJ13))/(Datos!V13+Datos!AJ13))
     ),IF(J_V="SI",(Datos!L13-Datos!V13)/Datos!V13,(Datos!L13+Datos!AB13-(Datos!V13+Datos!AJ13))/(Datos!V13+Datos!AJ13))," - ")</f>
        <v>4.6831955922865015E-2</v>
      </c>
      <c r="F13" s="1002">
        <f>IF(ISNUMBER((Datos!M13-Datos!W13)/Datos!W13),(Datos!M13-Datos!W13)/Datos!W13," - ")</f>
        <v>0.70833333333333337</v>
      </c>
      <c r="G13" s="1003">
        <f>IF(ISNUMBER((Datos!N13-Datos!X13)/Datos!X13),(Datos!N13-Datos!X13)/Datos!X13," - ")</f>
        <v>-1.0752688172043012E-2</v>
      </c>
      <c r="H13" s="1003">
        <f>IF(ISNUMBER(((NºAsuntos!G13/NºAsuntos!E13)-Datos!BD13)/Datos!BD13),((NºAsuntos!G13/NºAsuntos!E13)-Datos!BD13)/Datos!BD13," - ")</f>
        <v>-0.25760186158906317</v>
      </c>
      <c r="I13" s="1003">
        <f>IF(ISNUMBER(((NºAsuntos!I13/NºAsuntos!G13)-Datos!BE13)/Datos!BE13),((NºAsuntos!I13/NºAsuntos!G13)-Datos!BE13)/Datos!BE13," - ")</f>
        <v>0.23897199846566933</v>
      </c>
      <c r="J13" s="1003">
        <f>IF(ISNUMBER((('Resol  Asuntos'!D13/NºAsuntos!G13)-Datos!BF13)/Datos!BF13),(('Resol  Asuntos'!D13/NºAsuntos!G13)-Datos!BF13)/Datos!BF13," - ")</f>
        <v>-0.47822240370219138</v>
      </c>
      <c r="K13" s="1003">
        <f>IF(ISNUMBER((((NºAsuntos!C13+NºAsuntos!E13)/NºAsuntos!G13)-Datos!BG13)/Datos!BG13),(((NºAsuntos!C13+NºAsuntos!E13)/NºAsuntos!G13)-Datos!BG13)/Datos!BG13," - ")</f>
        <v>0.18872392875938285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0.22821576763485477</v>
      </c>
      <c r="C16" s="472">
        <f>IF(ISNUMBER(
   IF(D_I="SI",(Datos!J16-Datos!T16)/Datos!T16,(Datos!J16+Datos!AD16-(Datos!T16+Datos!AL16))/(Datos!T16+Datos!AL16))
     ),IF(D_I="SI",(Datos!J16-Datos!T16)/Datos!T16,(Datos!J16+Datos!AD16-(Datos!T16+Datos!AL16))/(Datos!T16+Datos!AL16))," - ")</f>
        <v>-0.15044247787610621</v>
      </c>
      <c r="D16" s="472">
        <f>IF(ISNUMBER(
   IF(D_I="SI",(Datos!K16-Datos!U16)/Datos!U16,(Datos!K16+Datos!AE16-(Datos!U16+Datos!AM16))/(Datos!U16+Datos!AM16))
     ),IF(D_I="SI",(Datos!K16-Datos!U16)/Datos!U16,(Datos!K16+Datos!AE16-(Datos!U16+Datos!AM16))/(Datos!U16+Datos!AM16))," - ")</f>
        <v>-3.6842105263157891E-2</v>
      </c>
      <c r="E16" s="472">
        <f>IF(ISNUMBER(
   IF(D_I="SI",(Datos!L16-Datos!V16)/Datos!V16,(Datos!L16+Datos!AF16-(Datos!V16+Datos!AN16))/(Datos!V16+Datos!AN16))
     ),IF(D_I="SI",(Datos!L16-Datos!V16)/Datos!V16,(Datos!L16+Datos!AF16-(Datos!V16+Datos!AN16))/(Datos!V16+Datos!AN16))," - ")</f>
        <v>0.10108303249097472</v>
      </c>
      <c r="F16" s="472">
        <f>IF(ISNUMBER((Datos!M16-Datos!W16)/Datos!W16),(Datos!M16-Datos!W16)/Datos!W16," - ")</f>
        <v>0.65</v>
      </c>
      <c r="G16" s="473">
        <f>IF(ISNUMBER((Datos!N16-Datos!X16)/Datos!X16),(Datos!N16-Datos!X16)/Datos!X16," - ")</f>
        <v>-8.0000000000000002E-3</v>
      </c>
      <c r="H16" s="471">
        <f>IF(ISNUMBER(((NºAsuntos!G16/NºAsuntos!E16)-Datos!BD16)/Datos!BD16),((NºAsuntos!G16/NºAsuntos!E16)-Datos!BD16)/Datos!BD16," - ")</f>
        <v>0.13371710526315794</v>
      </c>
      <c r="I16" s="472">
        <f>IF(ISNUMBER(((NºAsuntos!I16/NºAsuntos!G16)-Datos!BE16)/Datos!BE16),((NºAsuntos!I16/NºAsuntos!G16)-Datos!BE16)/Datos!BE16," - ")</f>
        <v>0.14320096269554752</v>
      </c>
      <c r="J16" s="477">
        <f>IF(ISNUMBER((('Resol  Asuntos'!D16/NºAsuntos!G16)-Datos!BF16)/Datos!BF16),(('Resol  Asuntos'!D16/NºAsuntos!G16)-Datos!BF16)/Datos!BF16," - ")</f>
        <v>0.71311475409836078</v>
      </c>
      <c r="K16" s="478">
        <f>IF(ISNUMBER((((NºAsuntos!C16+NºAsuntos!E16)/NºAsuntos!G16)-Datos!BG16)/Datos!BG16),(((NºAsuntos!C16+NºAsuntos!E16)/NºAsuntos!G16)-Datos!BG16)/Datos!BG16," - ")</f>
        <v>8.4939329050678081E-2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0.13333333333333333</v>
      </c>
      <c r="C17" s="472">
        <f>IF(ISNUMBER(
   IF(D_I="SI",(Datos!J17-Datos!T17)/Datos!T17,(Datos!J17+Datos!AD17-(Datos!T17+Datos!AL17))/(Datos!T17+Datos!AL17))
     ),IF(D_I="SI",(Datos!J17-Datos!T17)/Datos!T17,(Datos!J17+Datos!AD17-(Datos!T17+Datos!AL17))/(Datos!T17+Datos!AL17))," - ")</f>
        <v>0.44444444444444442</v>
      </c>
      <c r="D17" s="472">
        <f>IF(ISNUMBER(
   IF(D_I="SI",(Datos!K17-Datos!U17)/Datos!U17,(Datos!K17+Datos!AE17-(Datos!U17+Datos!AM17))/(Datos!U17+Datos!AM17))
     ),IF(D_I="SI",(Datos!K17-Datos!U17)/Datos!U17,(Datos!K17+Datos!AE17-(Datos!U17+Datos!AM17))/(Datos!U17+Datos!AM17))," - ")</f>
        <v>0.16666666666666666</v>
      </c>
      <c r="E17" s="472">
        <f>IF(ISNUMBER(
   IF(D_I="SI",(Datos!L17-Datos!V17)/Datos!V17,(Datos!L17+Datos!AF17-(Datos!V17+Datos!AN17))/(Datos!V17+Datos!AN17))
     ),IF(D_I="SI",(Datos!L17-Datos!V17)/Datos!V17,(Datos!L17+Datos!AF17-(Datos!V17+Datos!AN17))/(Datos!V17+Datos!AN17))," - ")</f>
        <v>0.46666666666666667</v>
      </c>
      <c r="F17" s="472">
        <f>IF(ISNUMBER((Datos!M17-Datos!W17)/Datos!W17),(Datos!M17-Datos!W17)/Datos!W17," - ")</f>
        <v>1</v>
      </c>
      <c r="G17" s="473">
        <f>IF(ISNUMBER((Datos!N17-Datos!X17)/Datos!X17),(Datos!N17-Datos!X17)/Datos!X17," - ")</f>
        <v>0.75</v>
      </c>
      <c r="H17" s="471">
        <f>IF(ISNUMBER(((NºAsuntos!G17/NºAsuntos!E17)-Datos!BD17)/Datos!BD17),((NºAsuntos!G17/NºAsuntos!E17)-Datos!BD17)/Datos!BD17," - ")</f>
        <v>-0.19230769230769229</v>
      </c>
      <c r="I17" s="472">
        <f>IF(ISNUMBER(((NºAsuntos!I17/NºAsuntos!G17)-Datos!BE17)/Datos!BE17),((NºAsuntos!I17/NºAsuntos!G17)-Datos!BE17)/Datos!BE17," - ")</f>
        <v>0.25714285714285717</v>
      </c>
      <c r="J17" s="477">
        <f>IF(ISNUMBER((('Resol  Asuntos'!D17/NºAsuntos!G17)-Datos!BF17)/Datos!BF17),(('Resol  Asuntos'!D17/NºAsuntos!G17)-Datos!BF17)/Datos!BF17," - ")</f>
        <v>0.7142857142857143</v>
      </c>
      <c r="K17" s="478">
        <f>IF(ISNUMBER((((NºAsuntos!C17+NºAsuntos!E17)/NºAsuntos!G17)-Datos!BG17)/Datos!BG17),(((NºAsuntos!C17+NºAsuntos!E17)/NºAsuntos!G17)-Datos!BG17)/Datos!BG17," - ")</f>
        <v>0.11688311688311684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0.22265625</v>
      </c>
      <c r="C18" s="1001">
        <f>IF(ISNUMBER(
   IF(Criterios!B14="SI",(Datos!J18-Datos!T18)/Datos!T18,(Datos!J18+Datos!AD18-(Datos!T18+Datos!AL18))/(Datos!T18+Datos!AL18))
     ),IF(Criterios!B14="SI",(Datos!J18-Datos!T18)/Datos!T18,(Datos!J18+Datos!AD18-(Datos!T18+Datos!AL18))/(Datos!T18+Datos!AL18))," - ")</f>
        <v>-0.10655737704918032</v>
      </c>
      <c r="D18" s="1001">
        <f>IF(ISNUMBER(
   IF(Criterios!B14="SI",(Datos!K18-Datos!U18)/Datos!U18,(Datos!K18+Datos!AE18-(Datos!U18+Datos!AM18))/(Datos!U18+Datos!AM18))
     ),IF(Criterios!B14="SI",(Datos!K18-Datos!U18)/Datos!U18,(Datos!K18+Datos!AE18-(Datos!U18+Datos!AM18))/(Datos!U18+Datos!AM18))," - ")</f>
        <v>-1.9230769230769232E-2</v>
      </c>
      <c r="E18" s="1001">
        <f>IF(ISNUMBER(
   IF(Criterios!B14="SI",(Datos!L18-Datos!V18)/Datos!V18,(Datos!L18+Datos!AF18-(Datos!V18+Datos!AN18))/(Datos!V18+Datos!AN18))
     ),IF(Criterios!B14="SI",(Datos!L18-Datos!V18)/Datos!V18,(Datos!L18+Datos!AF18-(Datos!V18+Datos!AN18))/(Datos!V18+Datos!AN18))," - ")</f>
        <v>0.11986301369863013</v>
      </c>
      <c r="F18" s="1002">
        <f>IF(ISNUMBER((Datos!M18-Datos!W18)/Datos!W18),(Datos!M18-Datos!W18)/Datos!W18," - ")</f>
        <v>0.66666666666666663</v>
      </c>
      <c r="G18" s="1003">
        <f>IF(ISNUMBER((Datos!N18-Datos!X18)/Datos!X18),(Datos!N18-Datos!X18)/Datos!X18," - ")</f>
        <v>3.7593984962406013E-2</v>
      </c>
      <c r="H18" s="1003">
        <f>IF(ISNUMBER(((NºAsuntos!G18/NºAsuntos!E18)-Datos!BD18)/Datos!BD18),((NºAsuntos!G18/NºAsuntos!E18)-Datos!BD18)/Datos!BD18," - ")</f>
        <v>9.7741707833451083E-2</v>
      </c>
      <c r="I18" s="1003">
        <f>IF(ISNUMBER(((NºAsuntos!I18/NºAsuntos!G18)-Datos!BE18)/Datos!BE18),((NºAsuntos!I18/NºAsuntos!G18)-Datos!BE18)/Datos!BE18," - ")</f>
        <v>0.14182111200644656</v>
      </c>
      <c r="J18" s="1003">
        <f>IF(ISNUMBER((('Resol  Asuntos'!D18/NºAsuntos!G18)-Datos!BF18)/Datos!BF18),(('Resol  Asuntos'!D18/NºAsuntos!G18)-Datos!BF18)/Datos!BF18," - ")</f>
        <v>0.69934640522875813</v>
      </c>
      <c r="K18" s="1003">
        <f>IF(ISNUMBER((((NºAsuntos!C18+NºAsuntos!E18)/NºAsuntos!G18)-Datos!BG18)/Datos!BG18),(((NºAsuntos!C18+NºAsuntos!E18)/NºAsuntos!G18)-Datos!BG18)/Datos!BG18," - ")</f>
        <v>8.2823529411764782E-2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3.3333333333333333E-2</v>
      </c>
      <c r="C19" s="948">
        <f>IF(ISNUMBER(
   IF(J_V="SI",(Datos!J19-Datos!T19)/Datos!T19,(Datos!J19+Datos!Z19-(Datos!T19+Datos!AH19))/(Datos!T19+Datos!AH19))
     ),IF(J_V="SI",(Datos!J19-Datos!T19)/Datos!T19,(Datos!J19+Datos!Z19-(Datos!T19+Datos!AH19))/(Datos!T19+Datos!AH19))," - ")</f>
        <v>6.6079295154185024E-3</v>
      </c>
      <c r="D19" s="948">
        <f>IF(ISNUMBER(
   IF(J_V="SI",(Datos!K19-Datos!U19)/Datos!U19,(Datos!K19+Datos!AA19-(Datos!U19+Datos!AI19))/(Datos!U19+Datos!AI19))
     ),IF(J_V="SI",(Datos!K19-Datos!U19)/Datos!U19,(Datos!K19+Datos!AA19-(Datos!U19+Datos!AI19))/(Datos!U19+Datos!AI19))," - ")</f>
        <v>-8.3544303797468356E-2</v>
      </c>
      <c r="E19" s="948">
        <f>IF(ISNUMBER(
   IF(J_V="SI",(Datos!L19-Datos!V19)/Datos!V19,(Datos!L19+Datos!AB19-(Datos!V19+Datos!AJ19))/(Datos!V19+Datos!AJ19))
     ),IF(J_V="SI",(Datos!L19-Datos!V19)/Datos!V19,(Datos!L19+Datos!AB19-(Datos!V19+Datos!AJ19))/(Datos!V19+Datos!AJ19))," - ")</f>
        <v>6.777996070726916E-2</v>
      </c>
      <c r="F19" s="949">
        <f>IF(ISNUMBER((Datos!M19-Datos!W19)/Datos!W19),(Datos!M19-Datos!W19)/Datos!W19," - ")</f>
        <v>0.68888888888888888</v>
      </c>
      <c r="G19" s="950">
        <f>IF(ISNUMBER((Datos!N19-Datos!X19)/Datos!X19),(Datos!N19-Datos!X19)/Datos!X19," - ")</f>
        <v>1.7699115044247787E-2</v>
      </c>
      <c r="H19" s="951">
        <f>IF(ISNUMBER((Tasas!B19-Datos!BD19)/Datos!BD19),(Tasas!B19-Datos!BD19)/Datos!BD19," - ")</f>
        <v>-8.9560424341467423E-2</v>
      </c>
      <c r="I19" s="952">
        <f>IF(ISNUMBER((Tasas!C19-Datos!BE19)/Datos!BE19),(Tasas!C19-Datos!BE19)/Datos!BE19," - ")</f>
        <v>0.16511901789881586</v>
      </c>
      <c r="J19" s="953">
        <f>IF(ISNUMBER((Tasas!D19-Datos!BF19)/Datos!BF19),(Tasas!D19-Datos!BF19)/Datos!BF19," - ")</f>
        <v>-0.27255985267034988</v>
      </c>
      <c r="K19" s="953">
        <f>IF(ISNUMBER((Tasas!E19-Datos!BG19)/Datos!BG19),(Tasas!E19-Datos!BG19)/Datos!BG19," - ")</f>
        <v>0.11816913735572444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MxDkJn0DQU1wTOW1Oi9Zfhm9Cp2RIF2iUJfL5tdgjR4LeNQvMBzfrrwxeTyvndQFCcgRML80lNa+VeZTenA9A==" saltValue="7d4Gh0LxtUbwzyy+4++W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RIPOLL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2.6666666666666665</v>
      </c>
      <c r="D10" s="460">
        <f>IF(ISNUMBER('Resol  Asuntos'!D10/NºAsuntos!G10),'Resol  Asuntos'!D10/NºAsuntos!G10," - ")</f>
        <v>0.33333333333333331</v>
      </c>
      <c r="E10" s="461">
        <f>IF(ISNUMBER((NºAsuntos!C10+NºAsuntos!E10)/NºAsuntos!G10),(NºAsuntos!C10+NºAsuntos!E10)/NºAsuntos!G10," - ")</f>
        <v>3.6666666666666665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0.65677966101694918</v>
      </c>
      <c r="C12" s="459">
        <f>IF(ISNUMBER(NºAsuntos!I12/NºAsuntos!G12),NºAsuntos!I12/NºAsuntos!G12," - ")</f>
        <v>4.8516129032258064</v>
      </c>
      <c r="D12" s="460">
        <f>IF(ISNUMBER('Resol  Asuntos'!D12/NºAsuntos!G12),'Resol  Asuntos'!D12/NºAsuntos!G12," - ")</f>
        <v>0.25806451612903225</v>
      </c>
      <c r="E12" s="461">
        <f>IF(ISNUMBER((NºAsuntos!C12+NºAsuntos!E12)/NºAsuntos!G12),(NºAsuntos!C12+NºAsuntos!E12)/NºAsuntos!G12," - ")</f>
        <v>5.8516129032258064</v>
      </c>
      <c r="G12" s="479"/>
    </row>
    <row r="13" spans="1:7" ht="14.25" thickTop="1" thickBot="1">
      <c r="A13" s="994" t="str">
        <f>Datos!A13</f>
        <v>TOTAL</v>
      </c>
      <c r="B13" s="1004">
        <f>IF(ISNUMBER(NºAsuntos!G13/NºAsuntos!E13),NºAsuntos!G13/NºAsuntos!E13," - ")</f>
        <v>0.66108786610878656</v>
      </c>
      <c r="C13" s="1005">
        <f>IF(ISNUMBER(NºAsuntos!I13/NºAsuntos!G13),NºAsuntos!I13/NºAsuntos!G13," - ")</f>
        <v>4.8101265822784809</v>
      </c>
      <c r="D13" s="1006">
        <f>IF(ISNUMBER('Resol  Asuntos'!D13/NºAsuntos!G13),'Resol  Asuntos'!D13/NºAsuntos!G13," - ")</f>
        <v>0.25949367088607594</v>
      </c>
      <c r="E13" s="1007">
        <f>IF(ISNUMBER((NºAsuntos!C13+NºAsuntos!E13)/NºAsuntos!G13),(NºAsuntos!C13+NºAsuntos!E13)/NºAsuntos!G13," - ")</f>
        <v>5.8101265822784809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0.953125</v>
      </c>
      <c r="C16" s="459">
        <f>IF(ISNUMBER(NºAsuntos!I16/NºAsuntos!G16),NºAsuntos!I16/NºAsuntos!G16," - ")</f>
        <v>1.6666666666666667</v>
      </c>
      <c r="D16" s="460">
        <f>IF(ISNUMBER('Resol  Asuntos'!D16/NºAsuntos!G16),'Resol  Asuntos'!D16/NºAsuntos!G16," - ")</f>
        <v>0.18032786885245902</v>
      </c>
      <c r="E16" s="461">
        <f>IF(ISNUMBER((NºAsuntos!C16+NºAsuntos!E16)/NºAsuntos!G16),(NºAsuntos!C16+NºAsuntos!E16)/NºAsuntos!G16," - ")</f>
        <v>2.6666666666666665</v>
      </c>
      <c r="G16" s="479"/>
    </row>
    <row r="17" spans="1:7" ht="13.5" thickBot="1">
      <c r="A17" s="413" t="str">
        <f>Datos!A17</f>
        <v>Jdos. Violencia contra la mujer</v>
      </c>
      <c r="B17" s="458">
        <f>IF(ISNUMBER(NºAsuntos!G17/NºAsuntos!E17),NºAsuntos!G17/NºAsuntos!E17," - ")</f>
        <v>0.80769230769230771</v>
      </c>
      <c r="C17" s="459">
        <f>IF(ISNUMBER(NºAsuntos!I17/NºAsuntos!G17),NºAsuntos!I17/NºAsuntos!G17," - ")</f>
        <v>1.0476190476190477</v>
      </c>
      <c r="D17" s="460">
        <f>IF(ISNUMBER('Resol  Asuntos'!D17/NºAsuntos!G17),'Resol  Asuntos'!D17/NºAsuntos!G17," - ")</f>
        <v>9.5238095238095233E-2</v>
      </c>
      <c r="E17" s="461">
        <f>IF(ISNUMBER((NºAsuntos!C17+NºAsuntos!E17)/NºAsuntos!G17),(NºAsuntos!C17+NºAsuntos!E17)/NºAsuntos!G17," - ")</f>
        <v>2.0476190476190474</v>
      </c>
      <c r="G17" s="479"/>
    </row>
    <row r="18" spans="1:7" ht="14.25" thickTop="1" thickBot="1">
      <c r="A18" s="994" t="str">
        <f>Datos!A18</f>
        <v>TOTAL</v>
      </c>
      <c r="B18" s="1004">
        <f>IF(ISNUMBER(NºAsuntos!G18/NºAsuntos!E18),NºAsuntos!G18/NºAsuntos!E18," - ")</f>
        <v>0.93577981651376152</v>
      </c>
      <c r="C18" s="1005">
        <f>IF(ISNUMBER(NºAsuntos!I18/NºAsuntos!G18),NºAsuntos!I18/NºAsuntos!G18," - ")</f>
        <v>1.6029411764705883</v>
      </c>
      <c r="D18" s="1008">
        <f>IF(ISNUMBER('Resol  Asuntos'!D18/NºAsuntos!G18),'Resol  Asuntos'!D18/NºAsuntos!G18," - ")</f>
        <v>0.17156862745098039</v>
      </c>
      <c r="E18" s="1007">
        <f>IF(ISNUMBER((NºAsuntos!C18+NºAsuntos!E18)/NºAsuntos!G18),(NºAsuntos!C18+NºAsuntos!E18)/NºAsuntos!G18," - ")</f>
        <v>2.6029411764705883</v>
      </c>
      <c r="G18" s="479"/>
    </row>
    <row r="19" spans="1:7" ht="15.75" customHeight="1" thickTop="1" thickBot="1">
      <c r="A19" s="939" t="str">
        <f>Datos!A19</f>
        <v>TOTAL JURISDICCIONES</v>
      </c>
      <c r="B19" s="954">
        <f>IF(ISNUMBER(NºAsuntos!G19/NºAsuntos!E19),NºAsuntos!G19/NºAsuntos!E19," - ")</f>
        <v>0.79212253829321666</v>
      </c>
      <c r="C19" s="955">
        <f>IF(ISNUMBER(NºAsuntos!I19/NºAsuntos!G19),NºAsuntos!I19/NºAsuntos!G19," - ")</f>
        <v>3.0027624309392267</v>
      </c>
      <c r="D19" s="956">
        <f>IF(ISNUMBER('Resol  Asuntos'!D19/NºAsuntos!G19),'Resol  Asuntos'!D19/NºAsuntos!G19," - ")</f>
        <v>0.20994475138121546</v>
      </c>
      <c r="E19" s="957">
        <f>IF(ISNUMBER((NºAsuntos!C19+NºAsuntos!E19)/NºAsuntos!G19),(NºAsuntos!C19+NºAsuntos!E19)/NºAsuntos!G19," - ")</f>
        <v>4.0027624309392262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RlD1rOvO84T8f7pHxwWxulbyoqKDUuGDtsqGxyREyaQDzaiPdXsAruGS3Rd5L+71aON9LFvJJ3u+uC2QNY0Fw==" saltValue="2djAOyxsX0B6No1n/5XM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RIPOLL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8</v>
      </c>
      <c r="AB10" s="343">
        <f>IF(ISNUMBER(Datos!R10),Datos!R10," - ")</f>
        <v>3</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5.333333333333333</v>
      </c>
      <c r="AN10" s="248">
        <f>IF(ISNUMBER('Resol  Asuntos'!D10/NºAsuntos!G10),'Resol  Asuntos'!D10/NºAsuntos!G10," - ")</f>
        <v>0.33333333333333331</v>
      </c>
      <c r="AO10" s="249">
        <f>IF(ISNUMBER((NºAsuntos!C10+NºAsuntos!E10)/NºAsuntos!G10),(NºAsuntos!C10+NºAsuntos!E10)/NºAsuntos!G10," - ")</f>
        <v>3.6666666666666665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39</v>
      </c>
      <c r="Y12" s="343">
        <f t="shared" si="0"/>
        <v>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897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40</v>
      </c>
      <c r="AJ12" s="233" t="str">
        <f>IF(ISNUMBER(Datos!BW12),Datos!BW12," - ")</f>
        <v xml:space="preserve"> - </v>
      </c>
      <c r="AK12" s="232" t="str">
        <f>IF(ISNUMBER(Datos!BX12),Datos!BX12," - ")</f>
        <v xml:space="preserve"> - </v>
      </c>
      <c r="AL12" s="247">
        <f>IF(ISNUMBER(NºAsuntos!G12/NºAsuntos!E12),NºAsuntos!G12/NºAsuntos!E12," - ")</f>
        <v>0.65677966101694918</v>
      </c>
      <c r="AM12" s="264">
        <f>IF(ISNUMBER(((NºAsuntos!I12/NºAsuntos!G12)*11)/factor_trimestre),((NºAsuntos!I12/NºAsuntos!G12)*11)/factor_trimestre," - ")</f>
        <v>9.7032258064516128</v>
      </c>
      <c r="AN12" s="248">
        <f>IF(ISNUMBER('Resol  Asuntos'!D12/NºAsuntos!G12),'Resol  Asuntos'!D12/NºAsuntos!G12," - ")</f>
        <v>0.25806451612903225</v>
      </c>
      <c r="AO12" s="249">
        <f>IF(ISNUMBER((NºAsuntos!C12+NºAsuntos!E12)/NºAsuntos!G12),(NºAsuntos!C12+NºAsuntos!E12)/NºAsuntos!G12," - ")</f>
        <v>5.8516129032258064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8</v>
      </c>
      <c r="G13" s="1012">
        <f t="shared" si="3"/>
        <v>8</v>
      </c>
      <c r="H13" s="1011">
        <f t="shared" si="3"/>
        <v>0</v>
      </c>
      <c r="I13" s="1013">
        <f t="shared" si="3"/>
        <v>0</v>
      </c>
      <c r="J13" s="1013">
        <f t="shared" si="3"/>
        <v>0</v>
      </c>
      <c r="K13" s="1013">
        <f t="shared" si="3"/>
        <v>0</v>
      </c>
      <c r="L13" s="1013">
        <f t="shared" si="3"/>
        <v>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39</v>
      </c>
      <c r="Y13" s="1014">
        <f t="shared" si="4"/>
        <v>42</v>
      </c>
      <c r="Z13" s="1014">
        <f t="shared" si="4"/>
        <v>0</v>
      </c>
      <c r="AA13" s="1014">
        <f t="shared" si="4"/>
        <v>8</v>
      </c>
      <c r="AB13" s="1014">
        <f t="shared" si="4"/>
        <v>900</v>
      </c>
      <c r="AC13" s="1014">
        <f t="shared" si="4"/>
        <v>11</v>
      </c>
      <c r="AD13" s="1014">
        <f t="shared" si="4"/>
        <v>0</v>
      </c>
      <c r="AE13" s="1018">
        <f t="shared" si="4"/>
        <v>0</v>
      </c>
      <c r="AF13" s="1011">
        <f t="shared" si="4"/>
        <v>0</v>
      </c>
      <c r="AG13" s="1019">
        <f t="shared" si="4"/>
        <v>0</v>
      </c>
      <c r="AH13" s="1016">
        <f t="shared" si="4"/>
        <v>0</v>
      </c>
      <c r="AI13" s="1011">
        <f t="shared" si="4"/>
        <v>41</v>
      </c>
      <c r="AJ13" s="1013">
        <f t="shared" si="4"/>
        <v>0</v>
      </c>
      <c r="AK13" s="1016">
        <f>SUBTOTAL(9,AK9:AK12)</f>
        <v>0</v>
      </c>
      <c r="AL13" s="1020">
        <f>IF(ISNUMBER(NºAsuntos!G13/NºAsuntos!E13),NºAsuntos!G13/NºAsuntos!E13," - ")</f>
        <v>0.66108786610878656</v>
      </c>
      <c r="AM13" s="1020">
        <f>IF(ISNUMBER(((NºAsuntos!I13/NºAsuntos!G13)*11)/factor_trimestre),((NºAsuntos!I13/NºAsuntos!G13)*11)/factor_trimestre," - ")</f>
        <v>9.6202531645569618</v>
      </c>
      <c r="AN13" s="1021">
        <f>IF(ISNUMBER('Resol  Asuntos'!D13/NºAsuntos!G13),'Resol  Asuntos'!D13/NºAsuntos!G13," - ")</f>
        <v>0.25949367088607594</v>
      </c>
      <c r="AO13" s="1022">
        <f>IF(ISNUMBER((NºAsuntos!C13+NºAsuntos!E13)/NºAsuntos!G13),(NºAsuntos!C13+NºAsuntos!E13)/NºAsuntos!G13," - ")</f>
        <v>5.8101265822784809</v>
      </c>
      <c r="AP13" s="1023" t="str">
        <f t="shared" si="2"/>
        <v xml:space="preserve"> - </v>
      </c>
      <c r="AQ13" s="1023">
        <f>IF(ISNUMBER((H13-W13+K13)/(F13)),(H13-W13+K13)/(F13)," - ")</f>
        <v>-0.375</v>
      </c>
      <c r="AR13" s="1024">
        <f>IF(ISNUMBER((Datos!P13-Datos!Q13)/(Datos!R13-Datos!P13+Datos!Q13)),(Datos!P13-Datos!Q13)/(Datos!R13-Datos!P13+Datos!Q13)," - ")</f>
        <v>1.8099547511312219E-2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296</v>
      </c>
      <c r="G16" s="342">
        <f>IF(ISNUMBER(IF(D_I="SI",Datos!I16,Datos!I16+Datos!AC16)),IF(D_I="SI",Datos!I16,Datos!I16+Datos!AC16)," - ")</f>
        <v>296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183</v>
      </c>
      <c r="X16" s="230">
        <f>IF(ISNUMBER(Datos!Q16),Datos!Q16," - ")</f>
        <v>3</v>
      </c>
      <c r="Y16" s="343">
        <f t="shared" ref="Y16:Y17" si="7">SUM(W16:X16)</f>
        <v>186</v>
      </c>
      <c r="Z16" s="344" t="str">
        <f>IF(ISNUMBER(Datos!CC16),Datos!CC16," - ")</f>
        <v xml:space="preserve"> - </v>
      </c>
      <c r="AA16" s="341">
        <f>IF(ISNUMBER(IF(D_I="SI",Datos!L16,Datos!L16+Datos!AF16)),IF(D_I="SI",Datos!L16,Datos!L16+Datos!AF16)," - ")</f>
        <v>305</v>
      </c>
      <c r="AB16" s="343">
        <f>IF(ISNUMBER(Datos!R16),Datos!R16," - ")</f>
        <v>23</v>
      </c>
      <c r="AC16" s="343">
        <f t="shared" si="6"/>
        <v>328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0.953125</v>
      </c>
      <c r="AM16" s="264">
        <f>IF(ISNUMBER(((NºAsuntos!I16/NºAsuntos!G16)*11)/factor_trimestre),((NºAsuntos!I16/NºAsuntos!G16)*11)/factor_trimestre," - ")</f>
        <v>3.3333333333333339</v>
      </c>
      <c r="AN16" s="248">
        <f>IF(ISNUMBER('Resol  Asuntos'!D16/NºAsuntos!G16),'Resol  Asuntos'!D16/NºAsuntos!G16," - ")</f>
        <v>0.18032786885245902</v>
      </c>
      <c r="AO16" s="249">
        <f>IF(ISNUMBER((NºAsuntos!C16+NºAsuntos!E16)/NºAsuntos!G16),(NºAsuntos!C16+NºAsuntos!E16)/NºAsuntos!G16," - ")</f>
        <v>2.6666666666666665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v>
      </c>
      <c r="X17" s="230">
        <f>IF(ISNUMBER(Datos!Q17),Datos!Q17," - ")</f>
        <v>0</v>
      </c>
      <c r="Y17" s="343">
        <f t="shared" si="7"/>
        <v>21</v>
      </c>
      <c r="Z17" s="344" t="str">
        <f>IF(ISNUMBER(Datos!CC17),Datos!CC17," - ")</f>
        <v xml:space="preserve"> - </v>
      </c>
      <c r="AA17" s="341">
        <f>IF(ISNUMBER(Datos!L17),Datos!L17,"-")</f>
        <v>22</v>
      </c>
      <c r="AB17" s="343">
        <f>IF(ISNUMBER(Datos!R17),Datos!R17," - ")</f>
        <v>0</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0.80769230769230771</v>
      </c>
      <c r="AM17" s="264">
        <f>IF(ISNUMBER(((NºAsuntos!I17/NºAsuntos!G17)*11)/factor_trimestre),((NºAsuntos!I17/NºAsuntos!G17)*11)/factor_trimestre," - ")</f>
        <v>2.0952380952380953</v>
      </c>
      <c r="AN17" s="248">
        <f>IF(ISNUMBER('Resol  Asuntos'!D17/NºAsuntos!G17),'Resol  Asuntos'!D17/NºAsuntos!G17," - ")</f>
        <v>9.5238095238095233E-2</v>
      </c>
      <c r="AO17" s="249">
        <f>IF(ISNUMBER((NºAsuntos!C17+NºAsuntos!E17)/NºAsuntos!G17),(NºAsuntos!C17+NºAsuntos!E17)/NºAsuntos!G17," - ")</f>
        <v>2.0476190476190474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296</v>
      </c>
      <c r="G18" s="1012">
        <f>SUBTOTAL(9,G15:G17)</f>
        <v>313</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204</v>
      </c>
      <c r="X18" s="1013">
        <f t="shared" si="11"/>
        <v>3</v>
      </c>
      <c r="Y18" s="1014">
        <f t="shared" si="11"/>
        <v>207</v>
      </c>
      <c r="Z18" s="1014">
        <f t="shared" si="11"/>
        <v>0</v>
      </c>
      <c r="AA18" s="1014">
        <f t="shared" si="11"/>
        <v>327</v>
      </c>
      <c r="AB18" s="1014">
        <f t="shared" si="11"/>
        <v>23</v>
      </c>
      <c r="AC18" s="1014">
        <f t="shared" si="11"/>
        <v>350</v>
      </c>
      <c r="AD18" s="1014">
        <f t="shared" si="11"/>
        <v>0</v>
      </c>
      <c r="AE18" s="1018">
        <f t="shared" si="11"/>
        <v>0</v>
      </c>
      <c r="AF18" s="1011">
        <f t="shared" si="11"/>
        <v>0</v>
      </c>
      <c r="AG18" s="1019">
        <f t="shared" si="11"/>
        <v>0</v>
      </c>
      <c r="AH18" s="1016">
        <f t="shared" si="11"/>
        <v>0</v>
      </c>
      <c r="AI18" s="1011">
        <f t="shared" si="11"/>
        <v>35</v>
      </c>
      <c r="AJ18" s="1013">
        <f t="shared" si="11"/>
        <v>0</v>
      </c>
      <c r="AK18" s="1016">
        <f t="shared" si="11"/>
        <v>0</v>
      </c>
      <c r="AL18" s="1020">
        <f>IF(ISNUMBER(NºAsuntos!G18/NºAsuntos!E18),NºAsuntos!G18/NºAsuntos!E18," - ")</f>
        <v>0.93577981651376152</v>
      </c>
      <c r="AM18" s="1020">
        <f>IF(ISNUMBER(((NºAsuntos!I18/NºAsuntos!G18)*11)/factor_trimestre),((NºAsuntos!I18/NºAsuntos!G18)*11)/factor_trimestre," - ")</f>
        <v>3.2058823529411766</v>
      </c>
      <c r="AN18" s="1021">
        <f>IF(ISNUMBER('Resol  Asuntos'!D18/NºAsuntos!G18),'Resol  Asuntos'!D18/NºAsuntos!G18," - ")</f>
        <v>0.17156862745098039</v>
      </c>
      <c r="AO18" s="1022">
        <f>IF(ISNUMBER((NºAsuntos!C18+NºAsuntos!E18)/NºAsuntos!G18),(NºAsuntos!C18+NºAsuntos!E18)/NºAsuntos!G18," - ")</f>
        <v>2.6029411764705883</v>
      </c>
      <c r="AP18" s="1023" t="str">
        <f t="shared" si="2"/>
        <v xml:space="preserve"> - </v>
      </c>
      <c r="AQ18" s="1023">
        <f>IF(ISNUMBER((H18-W18+K18)/(F18)),(H18-W18+K18)/(F18)," - ")</f>
        <v>-0.68918918918918914</v>
      </c>
      <c r="AR18" s="1024">
        <f>IF(ISNUMBER((Datos!P18-Datos!Q18)/(Datos!R18-Datos!P18+Datos!Q18)),(Datos!P18-Datos!Q18)/(Datos!R18-Datos!P18+Datos!Q18)," - ")</f>
        <v>0.27777777777777779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304</v>
      </c>
      <c r="G19" s="967">
        <f t="shared" si="13"/>
        <v>321</v>
      </c>
      <c r="H19" s="966">
        <f t="shared" si="13"/>
        <v>0</v>
      </c>
      <c r="I19" s="968">
        <f t="shared" si="13"/>
        <v>0</v>
      </c>
      <c r="J19" s="968">
        <f t="shared" si="13"/>
        <v>0</v>
      </c>
      <c r="K19" s="1027">
        <f t="shared" si="13"/>
        <v>0</v>
      </c>
      <c r="L19" s="968">
        <f t="shared" si="13"/>
        <v>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207</v>
      </c>
      <c r="X19" s="967">
        <f t="shared" si="14"/>
        <v>42</v>
      </c>
      <c r="Y19" s="974">
        <f t="shared" si="14"/>
        <v>249</v>
      </c>
      <c r="Z19" s="974">
        <f t="shared" si="14"/>
        <v>0</v>
      </c>
      <c r="AA19" s="974">
        <f t="shared" si="14"/>
        <v>335</v>
      </c>
      <c r="AB19" s="974">
        <f t="shared" si="14"/>
        <v>923</v>
      </c>
      <c r="AC19" s="974">
        <f t="shared" si="14"/>
        <v>361</v>
      </c>
      <c r="AD19" s="974">
        <f t="shared" si="14"/>
        <v>0</v>
      </c>
      <c r="AE19" s="976">
        <f t="shared" si="14"/>
        <v>0</v>
      </c>
      <c r="AF19" s="977">
        <f t="shared" si="14"/>
        <v>0</v>
      </c>
      <c r="AG19" s="978">
        <f t="shared" si="14"/>
        <v>0</v>
      </c>
      <c r="AH19" s="976">
        <f t="shared" si="14"/>
        <v>0</v>
      </c>
      <c r="AI19" s="966">
        <f t="shared" si="14"/>
        <v>76</v>
      </c>
      <c r="AJ19" s="966">
        <f t="shared" si="14"/>
        <v>0</v>
      </c>
      <c r="AK19" s="976">
        <f t="shared" si="14"/>
        <v>0</v>
      </c>
      <c r="AL19" s="1030">
        <f>IF(ISNUMBER(NºAsuntos!G19/NºAsuntos!E19),NºAsuntos!G19/NºAsuntos!E19," - ")</f>
        <v>0.79212253829321666</v>
      </c>
      <c r="AM19" s="1031">
        <f>IF(ISNUMBER(((NºAsuntos!I19/NºAsuntos!G19)*11)/factor_trimestre),((NºAsuntos!I19/NºAsuntos!G19)*11)/factor_trimestre," - ")</f>
        <v>6.0055248618784534</v>
      </c>
      <c r="AN19" s="1031">
        <f>IF(ISNUMBER('Resol  Asuntos'!D19/NºAsuntos!G19),'Resol  Asuntos'!D19/NºAsuntos!G19," - ")</f>
        <v>0.20994475138121546</v>
      </c>
      <c r="AO19" s="1032">
        <f>IF(ISNUMBER((NºAsuntos!C19+NºAsuntos!E19)/NºAsuntos!G19),(NºAsuntos!C19+NºAsuntos!E19)/NºAsuntos!G19," - ")</f>
        <v>4.0027624309392262</v>
      </c>
      <c r="AP19" s="1033" t="str">
        <f t="shared" si="2"/>
        <v xml:space="preserve"> - </v>
      </c>
      <c r="AQ19" s="1034">
        <f>IF(OR(ISNUMBER(FIND("01",Criterios!A8,1)),ISNUMBER(FIND("02",Criterios!A8,1)),ISNUMBER(FIND("03",Criterios!A8,1)),ISNUMBER(FIND("04",Criterios!A8,1))),(I19-W19+K19)/(F19-K19),(H19-W19+K19)/(F19-K19))</f>
        <v>-0.68092105263157898</v>
      </c>
      <c r="AR19" s="1035">
        <f>IF(ISNUMBER((Datos!P19-Datos!Q19)/(Datos!R19-Datos!P19+Datos!Q19)),(Datos!P19-Datos!Q19)/(Datos!R19-Datos!P19+Datos!Q19)," - ")</f>
        <v>2.3281596452328159E-2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166.27687752661222</v>
      </c>
      <c r="G21" s="257">
        <f>IF(ISNUMBER(STDEV(G8:G18)),STDEV(G8:G18),"-")</f>
        <v>160.91084488001422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101.59330686615138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18.704723111200195</v>
      </c>
      <c r="AJ21" s="256">
        <f t="shared" si="18"/>
        <v>0</v>
      </c>
      <c r="AK21" s="258">
        <f t="shared" si="18"/>
        <v>0</v>
      </c>
      <c r="AL21" s="253">
        <f t="shared" si="18"/>
        <v>0.15105323197952136</v>
      </c>
      <c r="AM21" s="254">
        <f t="shared" si="18"/>
        <v>3.352821367947334</v>
      </c>
      <c r="AN21" s="254">
        <f t="shared" si="18"/>
        <v>8.397337113170536E-2</v>
      </c>
      <c r="AO21" s="255">
        <f t="shared" si="18"/>
        <v>1.6764106839736679</v>
      </c>
      <c r="AP21" s="295" t="str">
        <f t="shared" si="18"/>
        <v>-</v>
      </c>
      <c r="AQ21" s="296">
        <f t="shared" si="18"/>
        <v>0.22216530625117895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OrI/ToZRiRrAXzOUn8waVufz718Gfv/j4zFnckl0uvq4bFasXq1R4MTiC2sKH5vrJJw0NjoMuFQcn98b5/hgQ==" saltValue="2m4jQX5fCwkLl+YGW/bk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RIPOLL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0.5</v>
      </c>
      <c r="F10" s="357" t="str">
        <f>IF(ISNUMBER((Datos!K10-Datos!U10)/Datos!U10),(Datos!K10-Datos!U10)/Datos!U10," - ")</f>
        <v xml:space="preserve"> - </v>
      </c>
      <c r="G10" s="358">
        <f>IF(ISNUMBER((Datos!L10-Datos!V10)/Datos!V10),(Datos!L10-Datos!V10)/Datos!V10," - ")</f>
        <v>0.33333333333333331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0.66666666666666663</v>
      </c>
      <c r="I12" s="359">
        <f>IF(ISNUMBER((Tasas!C12-Datos!BE12)/Datos!BE12),(Tasas!C12-Datos!BE12)/Datos!BE12," - ")</f>
        <v>0.26007168458781366</v>
      </c>
      <c r="J12" s="358">
        <f>IF(ISNUMBER((Tasas!D12-Datos!BF12)/Datos!BF12),(Tasas!D12-Datos!BF12)/Datos!BF12," - ")</f>
        <v>-0.48109608047173086</v>
      </c>
      <c r="K12" s="360">
        <f>IF(ISNUMBER((Tasas!E12-Datos!BG12)/Datos!BG12),(Tasas!E12-Datos!BG12)/Datos!BG12," - ")</f>
        <v>0.20512292169958793</v>
      </c>
      <c r="M12" t="e">
        <f>IF(Monitorios="SI",Datos!CE12,0)</f>
        <v>#REF!</v>
      </c>
      <c r="N12" t="e">
        <f>IF(Monitorios="SI",Datos!CF12,0)</f>
        <v>#REF!</v>
      </c>
      <c r="O12" t="e">
        <f>IF(Monitorios="SI",Datos!CG12,0)</f>
        <v>#REF!</v>
      </c>
      <c r="P12" t="e">
        <f>IF(Monitorios="SI",Datos!CH12,0)</f>
        <v>#REF!</v>
      </c>
      <c r="Q12">
        <f>IF(J_V="SI",0,Datos!AG12)</f>
        <v>6</v>
      </c>
      <c r="R12">
        <f>IF(J_V="SI",0,Datos!AH12)</f>
        <v>10</v>
      </c>
      <c r="S12">
        <f>IF(J_V="SI",0,Datos!AI12)</f>
        <v>5</v>
      </c>
      <c r="T12">
        <f>IF(J_V="SI",0,Datos!AJ12)</f>
        <v>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0.70833333333333337</v>
      </c>
      <c r="I13" s="366">
        <f>IF(ISNUMBER((Tasas!C13-Datos!BE13)/Datos!BE13),(Tasas!C13-Datos!BE13)/Datos!BE13," - ")</f>
        <v>0.23897199846566933</v>
      </c>
      <c r="J13" s="364">
        <f>IF(ISNUMBER((Tasas!D13-Datos!BF13)/Datos!BF13),(Tasas!D13-Datos!BF13)/Datos!BF13," - ")</f>
        <v>-0.47822240370219138</v>
      </c>
      <c r="K13" s="367">
        <f>IF(ISNUMBER((Tasas!E13-Datos!BG13)/Datos!BG13),(Tasas!E13-Datos!BG13)/Datos!BG13," - ")</f>
        <v>0.18872392875938285</v>
      </c>
      <c r="M13" t="e">
        <f>IF(Monitorios="SI",Datos!CE13,0)</f>
        <v>#REF!</v>
      </c>
      <c r="N13" t="e">
        <f>IF(Monitorios="SI",Datos!CF13,0)</f>
        <v>#REF!</v>
      </c>
      <c r="O13" t="e">
        <f>IF(Monitorios="SI",Datos!CG13,0)</f>
        <v>#REF!</v>
      </c>
      <c r="P13" t="e">
        <f>IF(Monitorios="SI",Datos!CH13,0)</f>
        <v>#REF!</v>
      </c>
      <c r="Q13">
        <f>IF(J_V="SI",0,Datos!AG13)</f>
        <v>6</v>
      </c>
      <c r="R13">
        <f>IF(J_V="SI",0,Datos!AH13)</f>
        <v>10</v>
      </c>
      <c r="S13">
        <f>IF(J_V="SI",0,Datos!AI13)</f>
        <v>5</v>
      </c>
      <c r="T13">
        <f>IF(J_V="SI",0,Datos!AJ13)</f>
        <v>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0.22821576763485477</v>
      </c>
      <c r="E16" s="357">
        <f>IF(ISNUMBER(
   IF(D_I="SI",(Datos!J16-Datos!T16)/Datos!T16,(Datos!J16+Datos!AD16-(Datos!T16+Datos!AL16))/(Datos!T16+Datos!AL16))
     ),IF(D_I="SI",(Datos!J16-Datos!T16)/Datos!T16,(Datos!J16+Datos!AD16-(Datos!T16+Datos!AL16))/(Datos!T16+Datos!AL16))," - ")</f>
        <v>-0.15044247787610621</v>
      </c>
      <c r="F16" s="357">
        <f>IF(ISNUMBER(
   IF(D_I="SI",(Datos!K16-Datos!U16)/Datos!U16,(Datos!K16+Datos!AE16-(Datos!U16+Datos!AM16))/(Datos!U16+Datos!AM16))
     ),IF(D_I="SI",(Datos!K16-Datos!U16)/Datos!U16,(Datos!K16+Datos!AE16-(Datos!U16+Datos!AM16))/(Datos!U16+Datos!AM16))," - ")</f>
        <v>-3.6842105263157891E-2</v>
      </c>
      <c r="G16" s="358">
        <f>IF(ISNUMBER(
   IF(D_I="SI",(Datos!L16-Datos!V16)/Datos!V16,(Datos!L16+Datos!AF16-(Datos!V16+Datos!AN16))/(Datos!V16+Datos!AN16))
     ),IF(D_I="SI",(Datos!L16-Datos!V16)/Datos!V16,(Datos!L16+Datos!AF16-(Datos!V16+Datos!AN16))/(Datos!V16+Datos!AN16))," - ")</f>
        <v>0.10108303249097472</v>
      </c>
      <c r="H16" s="234">
        <f>IF(ISNUMBER((Datos!M16-Datos!W16)/Datos!W16),(Datos!M16-Datos!W16)/Datos!W16," - ")</f>
        <v>0.65</v>
      </c>
      <c r="I16" s="359">
        <f>IF(ISNUMBER((Tasas!C16-Datos!BE16)/Datos!BE16),(Tasas!C16-Datos!BE16)/Datos!BE16," - ")</f>
        <v>0.14320096269554752</v>
      </c>
      <c r="J16" s="358">
        <f>IF(ISNUMBER((Tasas!D16-Datos!BF16)/Datos!BF16),(Tasas!D16-Datos!BF16)/Datos!BF16," - ")</f>
        <v>0.71311475409836078</v>
      </c>
      <c r="K16" s="360">
        <f>IF(ISNUMBER((Tasas!E16-Datos!BG16)/Datos!BG16),(Tasas!E16-Datos!BG16)/Datos!BG16," - ")</f>
        <v>8.4939329050678081E-2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0.13333333333333333</v>
      </c>
      <c r="E17" s="357">
        <f>IF(ISNUMBER(
   IF(D_I="SI",(Datos!J17-Datos!T17)/Datos!T17,(Datos!J17+Datos!AD17-(Datos!T17+Datos!AL17))/(Datos!T17+Datos!AL17))
     ),IF(D_I="SI",(Datos!J17-Datos!T17)/Datos!T17,(Datos!J17+Datos!AD17-(Datos!T17+Datos!AL17))/(Datos!T17+Datos!AL17))," - ")</f>
        <v>0.44444444444444442</v>
      </c>
      <c r="F17" s="357">
        <f>IF(ISNUMBER(
   IF(D_I="SI",(Datos!K17-Datos!U17)/Datos!U17,(Datos!K17+Datos!AE17-(Datos!U17+Datos!AM17))/(Datos!U17+Datos!AM17))
     ),IF(D_I="SI",(Datos!K17-Datos!U17)/Datos!U17,(Datos!K17+Datos!AE17-(Datos!U17+Datos!AM17))/(Datos!U17+Datos!AM17))," - ")</f>
        <v>0.16666666666666666</v>
      </c>
      <c r="G17" s="358">
        <f>IF(ISNUMBER(
   IF(D_I="SI",(Datos!L17-Datos!V17)/Datos!V17,(Datos!L17+Datos!AF17-(Datos!V17+Datos!AN17))/(Datos!V17+Datos!AN17))
     ),IF(D_I="SI",(Datos!L17-Datos!V17)/Datos!V17,(Datos!L17+Datos!AF17-(Datos!V17+Datos!AN17))/(Datos!V17+Datos!AN17))," - ")</f>
        <v>0.46666666666666667</v>
      </c>
      <c r="H17" s="234">
        <f>IF(ISNUMBER((Datos!M17-Datos!W17)/Datos!W17),(Datos!M17-Datos!W17)/Datos!W17," - ")</f>
        <v>1</v>
      </c>
      <c r="I17" s="359">
        <f>IF(ISNUMBER((Tasas!C17-Datos!BE17)/Datos!BE17),(Tasas!C17-Datos!BE17)/Datos!BE17," - ")</f>
        <v>0.25714285714285717</v>
      </c>
      <c r="J17" s="358">
        <f>IF(ISNUMBER((Tasas!D17-Datos!BF17)/Datos!BF17),(Tasas!D17-Datos!BF17)/Datos!BF17," - ")</f>
        <v>0.7142857142857143</v>
      </c>
      <c r="K17" s="360">
        <f>IF(ISNUMBER((Tasas!E17-Datos!BG17)/Datos!BG17),(Tasas!E17-Datos!BG17)/Datos!BG17," - ")</f>
        <v>0.11688311688311684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0.22265625</v>
      </c>
      <c r="E18" s="363">
        <f>IF(ISNUMBER(
   IF(D_I="SI",(Datos!J18-Datos!T18)/Datos!T18,(Datos!J18+Datos!AD18-(Datos!T18+Datos!AL18))/(Datos!T18+Datos!AL18))
     ),IF(D_I="SI",(Datos!J18-Datos!T18)/Datos!T18,(Datos!J18+Datos!AD18-(Datos!T18+Datos!AL18))/(Datos!T18+Datos!AL18))," - ")</f>
        <v>-0.10655737704918032</v>
      </c>
      <c r="F18" s="363">
        <f>IF(ISNUMBER(
   IF(D_I="SI",(Datos!K18-Datos!U18)/Datos!U18,(Datos!K18+Datos!AE18-(Datos!U18+Datos!AM18))/(Datos!U18+Datos!AM18))
     ),IF(D_I="SI",(Datos!K18-Datos!U18)/Datos!U18,(Datos!K18+Datos!AE18-(Datos!U18+Datos!AM18))/(Datos!U18+Datos!AM18))," - ")</f>
        <v>-1.9230769230769232E-2</v>
      </c>
      <c r="G18" s="364">
        <f>IF(ISNUMBER(
   IF(D_I="SI",(Datos!L18-Datos!V18)/Datos!V18,(Datos!L18+Datos!AF18-(Datos!V18+Datos!AN18))/(Datos!V18+Datos!AN18))
     ),IF(D_I="SI",(Datos!L18-Datos!V18)/Datos!V18,(Datos!L18+Datos!AF18-(Datos!V18+Datos!AN18))/(Datos!V18+Datos!AN18))," - ")</f>
        <v>0.11986301369863013</v>
      </c>
      <c r="H18" s="365">
        <f>IF(ISNUMBER((Datos!M18-Datos!W18)/Datos!W18),(Datos!M18-Datos!W18)/Datos!W18," - ")</f>
        <v>0.66666666666666663</v>
      </c>
      <c r="I18" s="366">
        <f>IF(ISNUMBER((Tasas!C18-Datos!BE18)/Datos!BE18),(Tasas!C18-Datos!BE18)/Datos!BE18," - ")</f>
        <v>0.14182111200644656</v>
      </c>
      <c r="J18" s="364">
        <f>IF(ISNUMBER((Tasas!D18-Datos!BF18)/Datos!BF18),(Tasas!D18-Datos!BF18)/Datos!BF18," - ")</f>
        <v>0.69934640522875813</v>
      </c>
      <c r="K18" s="367">
        <f>IF(ISNUMBER((Tasas!E18-Datos!BG18)/Datos!BG18),(Tasas!E18-Datos!BG18)/Datos!BG18," - ")</f>
        <v>8.2823529411764782E-2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3.3333333333333333E-2</v>
      </c>
      <c r="E19" s="372">
        <f>IF(ISNUMBER(
   IF(J_V="SI",(Datos!J19-Datos!T19)/Datos!T19,(Datos!J19+Datos!Z19-(Datos!T19+Datos!AH19))/(Datos!T19+Datos!AH19))
     ),IF(J_V="SI",(Datos!J19-Datos!T19)/Datos!T19,(Datos!J19+Datos!Z19-(Datos!T19+Datos!AH19))/(Datos!T19+Datos!AH19))," - ")</f>
        <v>6.6079295154185024E-3</v>
      </c>
      <c r="F19" s="372">
        <f>IF(ISNUMBER(
   IF(J_V="SI",(Datos!K19-Datos!U19)/Datos!U19,(Datos!K19+Datos!AA19-(Datos!U19+Datos!AI19))/(Datos!U19+Datos!AI19))
     ),IF(J_V="SI",(Datos!K19-Datos!U19)/Datos!U19,(Datos!K19+Datos!AA19-(Datos!U19+Datos!AI19))/(Datos!U19+Datos!AI19))," - ")</f>
        <v>-8.3544303797468356E-2</v>
      </c>
      <c r="G19" s="373">
        <f>IF(ISNUMBER(
   IF(J_V="SI",(Datos!L19-Datos!V19)/Datos!V19,(Datos!L19+Datos!AB19-(Datos!V19+Datos!AJ19))/(Datos!V19+Datos!AJ19))
     ),IF(J_V="SI",(Datos!L19-Datos!V19)/Datos!V19,(Datos!L19+Datos!AB19-(Datos!V19+Datos!AJ19))/(Datos!V19+Datos!AJ19))," - ")</f>
        <v>6.777996070726916E-2</v>
      </c>
      <c r="H19" s="374">
        <f>IF(ISNUMBER((Datos!M19-Datos!W19)/Datos!W19),(Datos!M19-Datos!W19)/Datos!W19," - ")</f>
        <v>0.68888888888888888</v>
      </c>
      <c r="I19" s="371">
        <f>IF(ISNUMBER((Tasas!C19-Datos!BE19)/Datos!BE19),(Tasas!C19-Datos!BE19)/Datos!BE19," - ")</f>
        <v>0.16511901789881586</v>
      </c>
      <c r="J19" s="372">
        <f>IF(ISNUMBER((Tasas!D19-Datos!BF19)/Datos!BF19),(Tasas!D19-Datos!BF19)/Datos!BF19," - ")</f>
        <v>-0.27255985267034988</v>
      </c>
      <c r="K19" s="373">
        <f>IF(ISNUMBER((Tasas!E19-Datos!BG19)/Datos!BG19),(Tasas!E19-Datos!BG19)/Datos!BG19," - ")</f>
        <v>0.11816913735572444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0.4049729914985879</v>
      </c>
      <c r="E21" s="282">
        <f t="shared" si="1"/>
        <v>0.34802933881874759</v>
      </c>
      <c r="F21" s="282">
        <f t="shared" si="1"/>
        <v>0.11275625339825751</v>
      </c>
      <c r="G21" s="283">
        <f t="shared" si="1"/>
        <v>0.17596505627712161</v>
      </c>
      <c r="H21" s="289">
        <f t="shared" si="1"/>
        <v>0.14785503410811324</v>
      </c>
      <c r="I21" s="281">
        <f t="shared" si="1"/>
        <v>6.0547530367856699E-2</v>
      </c>
      <c r="J21" s="282">
        <f t="shared" si="1"/>
        <v>0.65103656306811664</v>
      </c>
      <c r="K21" s="283">
        <f t="shared" si="1"/>
        <v>5.7787803677380116E-2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kL8CU5XwmmJ80KRZ3/9hhiSyGNVuRLSumqF6+aNb+Bc9jPjBVismiaxVdBnn62fBKoarqkYnVc8P5Taofc7VQ==" saltValue="83jhs4R/5g2Pak4cTrN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